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drawings/drawing5.xml" ContentType="application/vnd.openxmlformats-officedocument.drawing+xml"/>
  <Override PartName="/xl/charts/chart15.xml" ContentType="application/vnd.openxmlformats-officedocument.drawingml.chart+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17.xml" ContentType="application/vnd.openxmlformats-officedocument.drawingml.chart+xml"/>
  <Override PartName="/xl/tables/table8.xml" ContentType="application/vnd.openxmlformats-officedocument.spreadsheetml.table+xml"/>
  <Override PartName="/xl/drawings/drawing9.xml" ContentType="application/vnd.openxmlformats-officedocument.drawing+xml"/>
  <Override PartName="/xl/charts/chart18.xml" ContentType="application/vnd.openxmlformats-officedocument.drawingml.chart+xml"/>
  <Override PartName="/xl/drawings/drawing10.xml" ContentType="application/vnd.openxmlformats-officedocument.drawing+xml"/>
  <Override PartName="/xl/tables/table9.xml" ContentType="application/vnd.openxmlformats-officedocument.spreadsheetml.table+xml"/>
  <Override PartName="/xl/comments1.xml" ContentType="application/vnd.openxmlformats-officedocument.spreadsheetml.comments+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charts/chart2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tables/table19.xml" ContentType="application/vnd.openxmlformats-officedocument.spreadsheetml.table+xml"/>
  <Override PartName="/xl/charts/chart25.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ybergera\Desktop\"/>
    </mc:Choice>
  </mc:AlternateContent>
  <bookViews>
    <workbookView xWindow="480" yWindow="30" windowWidth="12915" windowHeight="9525" tabRatio="734"/>
  </bookViews>
  <sheets>
    <sheet name="Tab 2 Fig 2 chiffres  2007-2017" sheetId="21" r:id="rId1"/>
    <sheet name="Fig 3 MODECOM 2017 - OMR" sheetId="23" r:id="rId2"/>
    <sheet name="Tableau 3   MODECOM 2017 - OMR " sheetId="1" r:id="rId3"/>
    <sheet name="Fig 4 OMR compo des catégories" sheetId="24" r:id="rId4"/>
    <sheet name="Fig 5 compo M - AE - MAE" sheetId="25" r:id="rId5"/>
    <sheet name="Tab 4 OMR compar M, AE, MAE" sheetId="3" r:id="rId6"/>
    <sheet name="Tab 5 OMR Pot Valo " sheetId="4" r:id="rId7"/>
    <sheet name="Tab 6 OMR Humidités" sheetId="5" r:id="rId8"/>
    <sheet name="Tab 7 OMR MOT, COT" sheetId="6" r:id="rId9"/>
    <sheet name="Fig 6 OMR ratios 93-2007-2017" sheetId="26" r:id="rId10"/>
    <sheet name="Tab 8 OMR Comparaison ratios" sheetId="8" r:id="rId11"/>
    <sheet name="Tab 9 Evolution ratios" sheetId="9" r:id="rId12"/>
    <sheet name="Fig 7 CS emb-pap % ratios" sheetId="27" r:id="rId13"/>
    <sheet name="Fig 8 CS emb-pap %" sheetId="28" r:id="rId14"/>
    <sheet name="Tab 10 CS Emb-papiers" sheetId="10" r:id="rId15"/>
    <sheet name="Tab 11  CS Part conforme-Refus" sheetId="11" r:id="rId16"/>
    <sheet name="Tab 12 CS Verre" sheetId="12" r:id="rId17"/>
    <sheet name="Tab 13 Verre Part conforme-Refu" sheetId="13" r:id="rId18"/>
    <sheet name="Fig 9 emb + verre-pap 2007-2017" sheetId="29" r:id="rId19"/>
    <sheet name="Tab 14 CS-verre comparaisons" sheetId="14" r:id="rId20"/>
    <sheet name="Fig 10 CS biodéchets (%)" sheetId="30" r:id="rId21"/>
    <sheet name="Tab 15 CS Biodéchets" sheetId="15" r:id="rId22"/>
    <sheet name="Tab 16 Biodéchets conforme-refu" sheetId="16" r:id="rId23"/>
    <sheet name="Fig 11 OMA par catégories" sheetId="33" r:id="rId24"/>
    <sheet name="Tab 17 OMA " sheetId="17" r:id="rId25"/>
    <sheet name="Fig 12 OMA  OMR et CS par cat" sheetId="35" r:id="rId26"/>
    <sheet name="Tab 18 OMR évitement-pot réduc " sheetId="20" r:id="rId27"/>
    <sheet name="Tab 19 Taux captage CS dans OMA" sheetId="18" r:id="rId28"/>
    <sheet name="Fig 13 OMA taux de captage CS" sheetId="36" r:id="rId29"/>
    <sheet name="Fig 15 Compo globale DT" sheetId="37" r:id="rId30"/>
    <sheet name="Tab 21 Compo DT par SC" sheetId="38" r:id="rId31"/>
    <sheet name="Fig 16 à 20 Compo moy par benne" sheetId="39" r:id="rId32"/>
    <sheet name="Fig 21" sheetId="40" r:id="rId33"/>
    <sheet name="Tab 26 Gisement bois" sheetId="41" r:id="rId34"/>
    <sheet name="grille de tri_OMR CS" sheetId="43" r:id="rId35"/>
    <sheet name="grille de tri_Déchèterie" sheetId="44" r:id="rId36"/>
  </sheets>
  <externalReferences>
    <externalReference r:id="rId37"/>
    <externalReference r:id="rId38"/>
  </externalReferences>
  <calcPr calcId="162913"/>
</workbook>
</file>

<file path=xl/calcChain.xml><?xml version="1.0" encoding="utf-8"?>
<calcChain xmlns="http://schemas.openxmlformats.org/spreadsheetml/2006/main">
  <c r="C8" i="40" l="1"/>
  <c r="D8" i="40"/>
  <c r="B8" i="40"/>
  <c r="D64" i="39"/>
  <c r="B64" i="39"/>
  <c r="C129" i="39"/>
  <c r="E129" i="39"/>
  <c r="B45" i="39"/>
  <c r="B32" i="39"/>
  <c r="B21" i="39"/>
  <c r="B10" i="39"/>
  <c r="D65" i="38"/>
  <c r="B65" i="38"/>
  <c r="B12" i="37"/>
  <c r="D12" i="37"/>
  <c r="B19" i="33" l="1"/>
  <c r="F33" i="10"/>
  <c r="B19" i="26"/>
  <c r="D58" i="1"/>
  <c r="F58" i="1"/>
  <c r="B58" i="1"/>
  <c r="H35" i="23" l="1"/>
  <c r="H34" i="23"/>
  <c r="H22" i="23"/>
  <c r="H23" i="23"/>
  <c r="H24" i="23"/>
  <c r="H25" i="23"/>
  <c r="H26" i="23"/>
  <c r="H27" i="23"/>
  <c r="H28" i="23"/>
  <c r="H29" i="23"/>
  <c r="H30" i="23"/>
  <c r="H31" i="23"/>
  <c r="H32" i="23"/>
  <c r="H33" i="23"/>
  <c r="D18" i="29" l="1"/>
  <c r="B18" i="29"/>
  <c r="D25" i="27" l="1"/>
  <c r="S33" i="28"/>
  <c r="S32" i="28"/>
  <c r="S31" i="28"/>
  <c r="S30" i="28"/>
  <c r="T30" i="28" s="1"/>
  <c r="S29" i="28"/>
  <c r="S28" i="28"/>
  <c r="S27" i="28"/>
  <c r="S26" i="28"/>
  <c r="S25" i="28"/>
  <c r="S24" i="28"/>
  <c r="S23" i="28"/>
  <c r="S22" i="28"/>
  <c r="S21" i="28"/>
  <c r="S20" i="28"/>
  <c r="S19" i="28"/>
  <c r="S18" i="28"/>
  <c r="S17" i="28"/>
  <c r="S16" i="28"/>
  <c r="S15" i="28"/>
  <c r="S14" i="28"/>
  <c r="S13" i="28"/>
  <c r="AA12" i="28"/>
  <c r="S12" i="28"/>
  <c r="S11" i="28"/>
  <c r="AA10" i="28"/>
  <c r="W10" i="28"/>
  <c r="S10" i="28"/>
  <c r="S9" i="28"/>
  <c r="T9" i="28" s="1"/>
  <c r="S8" i="28"/>
  <c r="S7" i="28"/>
  <c r="S6" i="28"/>
  <c r="S5" i="28"/>
  <c r="S4" i="28"/>
  <c r="S3" i="28"/>
  <c r="B38" i="27"/>
  <c r="F37" i="27"/>
  <c r="G37" i="27" s="1"/>
  <c r="D37" i="27"/>
  <c r="E37" i="27" s="1"/>
  <c r="F36" i="27"/>
  <c r="G36" i="27" s="1"/>
  <c r="D36" i="27"/>
  <c r="E36" i="27" s="1"/>
  <c r="F35" i="27"/>
  <c r="G35" i="27" s="1"/>
  <c r="D35" i="27"/>
  <c r="E35" i="27" s="1"/>
  <c r="F34" i="27"/>
  <c r="G34" i="27" s="1"/>
  <c r="D34" i="27"/>
  <c r="E34" i="27" s="1"/>
  <c r="F33" i="27"/>
  <c r="G33" i="27" s="1"/>
  <c r="D33" i="27"/>
  <c r="E33" i="27" s="1"/>
  <c r="F32" i="27"/>
  <c r="G32" i="27" s="1"/>
  <c r="D32" i="27"/>
  <c r="E32" i="27" s="1"/>
  <c r="F31" i="27"/>
  <c r="G31" i="27" s="1"/>
  <c r="D31" i="27"/>
  <c r="E31" i="27" s="1"/>
  <c r="F30" i="27"/>
  <c r="G30" i="27" s="1"/>
  <c r="D30" i="27"/>
  <c r="E30" i="27" s="1"/>
  <c r="F29" i="27"/>
  <c r="G29" i="27" s="1"/>
  <c r="D29" i="27"/>
  <c r="E29" i="27" s="1"/>
  <c r="F28" i="27"/>
  <c r="G28" i="27" s="1"/>
  <c r="D28" i="27"/>
  <c r="E28" i="27" s="1"/>
  <c r="F27" i="27"/>
  <c r="G27" i="27" s="1"/>
  <c r="D27" i="27"/>
  <c r="E27" i="27" s="1"/>
  <c r="F26" i="27"/>
  <c r="G26" i="27" s="1"/>
  <c r="D26" i="27"/>
  <c r="E26" i="27" s="1"/>
  <c r="F25" i="27"/>
  <c r="G25" i="27" s="1"/>
  <c r="E25" i="27"/>
  <c r="I21" i="27"/>
  <c r="X10" i="28" l="1"/>
  <c r="AB10" i="28" s="1"/>
  <c r="T3" i="28"/>
  <c r="T16" i="28"/>
  <c r="T20" i="28"/>
  <c r="T24" i="28"/>
  <c r="T28" i="28"/>
  <c r="T7" i="28"/>
  <c r="T14" i="28"/>
  <c r="T22" i="28"/>
  <c r="T32" i="28"/>
  <c r="AA13" i="28"/>
  <c r="D38" i="27"/>
  <c r="T33" i="28"/>
  <c r="T31" i="28"/>
  <c r="T29" i="28"/>
  <c r="T27" i="28"/>
  <c r="T25" i="28"/>
  <c r="T23" i="28"/>
  <c r="T21" i="28"/>
  <c r="T19" i="28"/>
  <c r="T17" i="28"/>
  <c r="T15" i="28"/>
  <c r="T12" i="28"/>
  <c r="T10" i="28"/>
  <c r="T8" i="28"/>
  <c r="T6" i="28"/>
  <c r="T4" i="28"/>
  <c r="T5" i="28"/>
  <c r="T11" i="28"/>
  <c r="T13" i="28"/>
  <c r="T18" i="28"/>
  <c r="T26" i="28"/>
  <c r="F38" i="27"/>
  <c r="F37" i="26" l="1"/>
  <c r="D37" i="26"/>
  <c r="E37" i="26" s="1"/>
  <c r="F36" i="26"/>
  <c r="D36" i="26"/>
  <c r="F35" i="26"/>
  <c r="D35" i="26"/>
  <c r="F34" i="26"/>
  <c r="D34" i="26"/>
  <c r="E34" i="26" s="1"/>
  <c r="F33" i="26"/>
  <c r="D33" i="26"/>
  <c r="E33" i="26" s="1"/>
  <c r="F32" i="26"/>
  <c r="D32" i="26"/>
  <c r="F31" i="26"/>
  <c r="D31" i="26"/>
  <c r="F30" i="26"/>
  <c r="D30" i="26"/>
  <c r="E30" i="26" s="1"/>
  <c r="F29" i="26"/>
  <c r="D29" i="26"/>
  <c r="E29" i="26" s="1"/>
  <c r="F28" i="26"/>
  <c r="D28" i="26"/>
  <c r="F27" i="26"/>
  <c r="D27" i="26"/>
  <c r="F26" i="26"/>
  <c r="D26" i="26"/>
  <c r="E26" i="26" s="1"/>
  <c r="F19" i="26"/>
  <c r="D19" i="26"/>
  <c r="F39" i="26" l="1"/>
  <c r="B30" i="26"/>
  <c r="E31" i="26"/>
  <c r="E32" i="26"/>
  <c r="B26" i="26"/>
  <c r="B34" i="26"/>
  <c r="B27" i="26"/>
  <c r="B35" i="26"/>
  <c r="B31" i="26"/>
  <c r="E27" i="26"/>
  <c r="E28" i="26"/>
  <c r="E35" i="26"/>
  <c r="E36" i="26"/>
  <c r="D39" i="26"/>
  <c r="B28" i="26"/>
  <c r="B29" i="26"/>
  <c r="B32" i="26"/>
  <c r="B33" i="26"/>
  <c r="B36" i="26"/>
  <c r="B37" i="26"/>
  <c r="C30" i="26" l="1"/>
  <c r="C36" i="26"/>
  <c r="C27" i="26"/>
  <c r="C35" i="26"/>
  <c r="C28" i="26"/>
  <c r="C33" i="26"/>
  <c r="C32" i="26"/>
  <c r="C26" i="26"/>
  <c r="B39" i="26"/>
  <c r="C37" i="26"/>
  <c r="C29" i="26"/>
  <c r="C31" i="26"/>
  <c r="C34" i="26"/>
  <c r="F52" i="24" l="1"/>
  <c r="G52" i="24" s="1"/>
  <c r="D52" i="24"/>
  <c r="E52" i="24" s="1"/>
  <c r="F51" i="24"/>
  <c r="G51" i="24" s="1"/>
  <c r="D51" i="24"/>
  <c r="E51" i="24" s="1"/>
  <c r="F50" i="24"/>
  <c r="G50" i="24" s="1"/>
  <c r="D50" i="24"/>
  <c r="E50" i="24" s="1"/>
  <c r="F49" i="24"/>
  <c r="G49" i="24" s="1"/>
  <c r="D49" i="24"/>
  <c r="E49" i="24" s="1"/>
  <c r="F48" i="24"/>
  <c r="G48" i="24" s="1"/>
  <c r="D48" i="24"/>
  <c r="E48" i="24" s="1"/>
  <c r="F47" i="24"/>
  <c r="G47" i="24" s="1"/>
  <c r="D47" i="24"/>
  <c r="E47" i="24" s="1"/>
  <c r="F46" i="24"/>
  <c r="G46" i="24" s="1"/>
  <c r="D46" i="24"/>
  <c r="E46" i="24" s="1"/>
  <c r="F45" i="24"/>
  <c r="G45" i="24" s="1"/>
  <c r="D45" i="24"/>
  <c r="E45" i="24" s="1"/>
  <c r="F44" i="24"/>
  <c r="G44" i="24" s="1"/>
  <c r="D44" i="24"/>
  <c r="E44" i="24" s="1"/>
  <c r="F43" i="24"/>
  <c r="G43" i="24" s="1"/>
  <c r="D43" i="24"/>
  <c r="E43" i="24" s="1"/>
  <c r="F42" i="24"/>
  <c r="G42" i="24" s="1"/>
  <c r="D42" i="24"/>
  <c r="E42" i="24" s="1"/>
  <c r="F41" i="24"/>
  <c r="G41" i="24" s="1"/>
  <c r="D41" i="24"/>
  <c r="E41" i="24" s="1"/>
  <c r="F40" i="24"/>
  <c r="G40" i="24" s="1"/>
  <c r="D40" i="24"/>
  <c r="E40" i="24" s="1"/>
  <c r="F39" i="24"/>
  <c r="G39" i="24" s="1"/>
  <c r="D39" i="24"/>
  <c r="E39" i="24" s="1"/>
  <c r="F38" i="24"/>
  <c r="G38" i="24" s="1"/>
  <c r="D38" i="24"/>
  <c r="E38" i="24" s="1"/>
  <c r="F37" i="24"/>
  <c r="G37" i="24" s="1"/>
  <c r="D37" i="24"/>
  <c r="E37" i="24" s="1"/>
  <c r="F36" i="24"/>
  <c r="G36" i="24" s="1"/>
  <c r="D36" i="24"/>
  <c r="E36" i="24" s="1"/>
  <c r="F35" i="24"/>
  <c r="G35" i="24" s="1"/>
  <c r="D35" i="24"/>
  <c r="E35" i="24" s="1"/>
  <c r="F34" i="24"/>
  <c r="G34" i="24" s="1"/>
  <c r="D34" i="24"/>
  <c r="E34" i="24" s="1"/>
  <c r="F33" i="24"/>
  <c r="G33" i="24" s="1"/>
  <c r="D33" i="24"/>
  <c r="E33" i="24" s="1"/>
  <c r="F32" i="24"/>
  <c r="G32" i="24" s="1"/>
  <c r="D32" i="24"/>
  <c r="E32" i="24" s="1"/>
  <c r="F31" i="24"/>
  <c r="G31" i="24" s="1"/>
  <c r="D31" i="24"/>
  <c r="E31" i="24" s="1"/>
  <c r="F30" i="24"/>
  <c r="G30" i="24" s="1"/>
  <c r="D30" i="24"/>
  <c r="E30" i="24" s="1"/>
  <c r="F29" i="24"/>
  <c r="G29" i="24" s="1"/>
  <c r="D29" i="24"/>
  <c r="E29" i="24" s="1"/>
  <c r="F28" i="24"/>
  <c r="G28" i="24" s="1"/>
  <c r="D28" i="24"/>
  <c r="E28" i="24" s="1"/>
  <c r="F27" i="24"/>
  <c r="G27" i="24" s="1"/>
  <c r="D27" i="24"/>
  <c r="E27" i="24" s="1"/>
  <c r="F26" i="24"/>
  <c r="G26" i="24" s="1"/>
  <c r="D26" i="24"/>
  <c r="E26" i="24" s="1"/>
  <c r="F25" i="24"/>
  <c r="G25" i="24" s="1"/>
  <c r="D25" i="24"/>
  <c r="E25" i="24" s="1"/>
  <c r="F24" i="24"/>
  <c r="G24" i="24" s="1"/>
  <c r="D24" i="24"/>
  <c r="E24" i="24" s="1"/>
  <c r="F23" i="24"/>
  <c r="G23" i="24" s="1"/>
  <c r="D23" i="24"/>
  <c r="E23" i="24" s="1"/>
  <c r="F22" i="24"/>
  <c r="G22" i="24" s="1"/>
  <c r="D22" i="24"/>
  <c r="E22" i="24" s="1"/>
  <c r="F21" i="24"/>
  <c r="G21" i="24" s="1"/>
  <c r="D21" i="24"/>
  <c r="E21" i="24" s="1"/>
  <c r="F20" i="24"/>
  <c r="G20" i="24" s="1"/>
  <c r="D20" i="24"/>
  <c r="E20" i="24" s="1"/>
  <c r="F19" i="24"/>
  <c r="G19" i="24" s="1"/>
  <c r="D19" i="24"/>
  <c r="E19" i="24" s="1"/>
  <c r="F18" i="24"/>
  <c r="G18" i="24" s="1"/>
  <c r="D18" i="24"/>
  <c r="E18" i="24" s="1"/>
  <c r="F17" i="24"/>
  <c r="G17" i="24" s="1"/>
  <c r="D17" i="24"/>
  <c r="E17" i="24" s="1"/>
  <c r="F16" i="24"/>
  <c r="G16" i="24" s="1"/>
  <c r="D16" i="24"/>
  <c r="E16" i="24" s="1"/>
  <c r="F15" i="24"/>
  <c r="G15" i="24" s="1"/>
  <c r="D15" i="24"/>
  <c r="E15" i="24" s="1"/>
  <c r="F14" i="24"/>
  <c r="G14" i="24" s="1"/>
  <c r="D14" i="24"/>
  <c r="E14" i="24" s="1"/>
  <c r="F13" i="24"/>
  <c r="G13" i="24" s="1"/>
  <c r="D13" i="24"/>
  <c r="E13" i="24" s="1"/>
  <c r="F12" i="24"/>
  <c r="G12" i="24" s="1"/>
  <c r="D12" i="24"/>
  <c r="E12" i="24" s="1"/>
  <c r="F11" i="24"/>
  <c r="G11" i="24" s="1"/>
  <c r="D11" i="24"/>
  <c r="E11" i="24" s="1"/>
  <c r="F10" i="24"/>
  <c r="G10" i="24" s="1"/>
  <c r="D10" i="24"/>
  <c r="E10" i="24" s="1"/>
  <c r="F9" i="24"/>
  <c r="G9" i="24" s="1"/>
  <c r="D9" i="24"/>
  <c r="E9" i="24" s="1"/>
  <c r="F8" i="24"/>
  <c r="G8" i="24" s="1"/>
  <c r="D8" i="24"/>
  <c r="D53" i="24" l="1"/>
  <c r="F53" i="24"/>
  <c r="E8" i="24"/>
  <c r="C7" i="21" l="1"/>
  <c r="B7" i="21"/>
  <c r="D52" i="17" l="1"/>
  <c r="C52" i="17"/>
  <c r="B52" i="17"/>
  <c r="D48" i="17"/>
  <c r="C48" i="17"/>
  <c r="B48" i="17"/>
  <c r="D44" i="17"/>
  <c r="C44" i="17"/>
  <c r="B44" i="17"/>
  <c r="D39" i="17"/>
  <c r="C39" i="17"/>
  <c r="B39" i="17"/>
  <c r="D34" i="17"/>
  <c r="C34" i="17"/>
  <c r="B34" i="17"/>
  <c r="D30" i="17"/>
  <c r="C30" i="17"/>
  <c r="B30" i="17"/>
  <c r="D26" i="17"/>
  <c r="C26" i="17"/>
  <c r="B26" i="17"/>
  <c r="D22" i="17"/>
  <c r="C22" i="17"/>
  <c r="B22" i="17"/>
  <c r="D14" i="17"/>
  <c r="C14" i="17"/>
  <c r="B14" i="17"/>
  <c r="D8" i="17"/>
  <c r="C8" i="17"/>
  <c r="B8" i="17"/>
  <c r="D2" i="17"/>
  <c r="C2" i="17"/>
  <c r="B2" i="17"/>
  <c r="G46" i="4" l="1"/>
  <c r="G45" i="4"/>
  <c r="G44" i="4"/>
  <c r="G43" i="4"/>
  <c r="G38" i="4"/>
  <c r="D38" i="4"/>
  <c r="G37" i="4"/>
  <c r="D37" i="4"/>
  <c r="G35" i="4"/>
  <c r="D35" i="4"/>
  <c r="G34" i="4"/>
  <c r="D34" i="4"/>
  <c r="G32" i="4"/>
  <c r="G31" i="4"/>
  <c r="G30" i="4"/>
  <c r="E30" i="4"/>
  <c r="G28" i="4"/>
  <c r="E28" i="4"/>
  <c r="G27" i="4"/>
  <c r="D27" i="4"/>
  <c r="G26" i="4"/>
  <c r="D26" i="4"/>
  <c r="G25" i="4"/>
  <c r="E25" i="4"/>
  <c r="G24" i="4"/>
  <c r="E24" i="4"/>
  <c r="C22" i="4"/>
  <c r="G19" i="4"/>
  <c r="G18" i="4"/>
  <c r="G17" i="4"/>
  <c r="E17" i="4"/>
  <c r="G16" i="4"/>
  <c r="D16" i="4"/>
  <c r="G15" i="4"/>
  <c r="D15" i="4"/>
  <c r="G14" i="4"/>
  <c r="D14" i="4"/>
  <c r="G13" i="4"/>
  <c r="D13" i="4"/>
  <c r="G12" i="4"/>
  <c r="D12" i="4"/>
  <c r="G11" i="4"/>
  <c r="D11" i="4"/>
  <c r="G10" i="4"/>
  <c r="D10" i="4"/>
  <c r="G9" i="4"/>
  <c r="D9" i="4"/>
  <c r="G8" i="4"/>
  <c r="D8" i="4"/>
  <c r="C7" i="4"/>
  <c r="C5" i="4"/>
  <c r="C4" i="4"/>
  <c r="C3" i="4"/>
</calcChain>
</file>

<file path=xl/comments1.xml><?xml version="1.0" encoding="utf-8"?>
<comments xmlns="http://schemas.openxmlformats.org/spreadsheetml/2006/main">
  <authors>
    <author>DESPLATS Rafaelle</author>
  </authors>
  <commentList>
    <comment ref="C4" authorId="0" shapeId="0">
      <text>
        <r>
          <rPr>
            <b/>
            <sz val="9"/>
            <color indexed="81"/>
            <rFont val="Tahoma"/>
            <family val="2"/>
          </rPr>
          <t>DESPLATS Rafaelle:</t>
        </r>
        <r>
          <rPr>
            <sz val="9"/>
            <color indexed="81"/>
            <rFont val="Tahoma"/>
            <family val="2"/>
          </rPr>
          <t xml:space="preserve">
à vérifier
</t>
        </r>
      </text>
    </comment>
  </commentList>
</comments>
</file>

<file path=xl/sharedStrings.xml><?xml version="1.0" encoding="utf-8"?>
<sst xmlns="http://schemas.openxmlformats.org/spreadsheetml/2006/main" count="1623" uniqueCount="622">
  <si>
    <t>Catégories</t>
  </si>
  <si>
    <t>Composition 
(%)</t>
  </si>
  <si>
    <t>IC 
(%)</t>
  </si>
  <si>
    <t>Ratio
(kg/hab/an)</t>
  </si>
  <si>
    <t>IC 
(kg/hab/an)</t>
  </si>
  <si>
    <t>IC 
(t/an)</t>
  </si>
  <si>
    <t>Déchets Putrescibles</t>
  </si>
  <si>
    <t>- Déchets alimentaires</t>
  </si>
  <si>
    <t>- Produits alimentaires non consommés</t>
  </si>
  <si>
    <t>- Produits alimentaires non consommés sous emballage</t>
  </si>
  <si>
    <t>- Autres putrescibles</t>
  </si>
  <si>
    <t>- Déchets de jardin</t>
  </si>
  <si>
    <t>Papiers</t>
  </si>
  <si>
    <t>- Emballages papiers</t>
  </si>
  <si>
    <t>- JRM</t>
  </si>
  <si>
    <t>- Imprimés publicitaires</t>
  </si>
  <si>
    <t>- Papiers bureautiques</t>
  </si>
  <si>
    <t>- Autres papiers</t>
  </si>
  <si>
    <t>Cartons</t>
  </si>
  <si>
    <t>- Emballages cartons plats</t>
  </si>
  <si>
    <t>- Emballages cartons ondules</t>
  </si>
  <si>
    <t>- Autres cartons</t>
  </si>
  <si>
    <t>Composites</t>
  </si>
  <si>
    <t>- Emballages de liquides alimentaires</t>
  </si>
  <si>
    <t>- Autres emballages composites</t>
  </si>
  <si>
    <t>- PAM</t>
  </si>
  <si>
    <t>Textiles</t>
  </si>
  <si>
    <t>Textiles sanitaires</t>
  </si>
  <si>
    <t>- Couches bébé</t>
  </si>
  <si>
    <t>- Autre fraction hygiénique</t>
  </si>
  <si>
    <t>- Fraction papiers souillés</t>
  </si>
  <si>
    <t>Plastiques</t>
  </si>
  <si>
    <t>- Sacs poubelles</t>
  </si>
  <si>
    <t>- Autres sacs plastiques</t>
  </si>
  <si>
    <t>- Autres films plastiques d'emballage</t>
  </si>
  <si>
    <t>- Bouteilles et flacons en PET</t>
  </si>
  <si>
    <t>- Bouteilles et flacons polyoléfines</t>
  </si>
  <si>
    <t>- Autres emballages plastiques</t>
  </si>
  <si>
    <t>- Autres plastiques</t>
  </si>
  <si>
    <t>Combustibles non classés</t>
  </si>
  <si>
    <t>- Emballage en bois</t>
  </si>
  <si>
    <t>- Chaussures</t>
  </si>
  <si>
    <t>- Maroquinerie</t>
  </si>
  <si>
    <t>- Autres combustibles</t>
  </si>
  <si>
    <t>Verre</t>
  </si>
  <si>
    <t>- Emballages en verre incolore</t>
  </si>
  <si>
    <t>- Emballages en verre de couleur</t>
  </si>
  <si>
    <t>- Autres verres</t>
  </si>
  <si>
    <t>Métaux</t>
  </si>
  <si>
    <t>- Emballages métaux ferreux</t>
  </si>
  <si>
    <t>- Emballages aluminium</t>
  </si>
  <si>
    <t>- Autres métaux ferreux</t>
  </si>
  <si>
    <t>- Autres métaux non ferreux</t>
  </si>
  <si>
    <t>Incombustibles non classés</t>
  </si>
  <si>
    <t>- Emballages incombustibles</t>
  </si>
  <si>
    <t>- Autres incombustibles</t>
  </si>
  <si>
    <t>Déchets dangereux</t>
  </si>
  <si>
    <t>- Déchets diffus spécifiques</t>
  </si>
  <si>
    <t>- Tubes fluorescents et ampoules basse consommation</t>
  </si>
  <si>
    <t>- Piles et accumulateurs</t>
  </si>
  <si>
    <t>- Déchets médicaux</t>
  </si>
  <si>
    <t>- Autres déchets spéciaux</t>
  </si>
  <si>
    <t>Total</t>
  </si>
  <si>
    <t>Sous-catégories</t>
  </si>
  <si>
    <t>Déchets alimentaires</t>
  </si>
  <si>
    <t>Produits alimentaires non consommés</t>
  </si>
  <si>
    <t>Produits alimentaires non consommés sous emballage</t>
  </si>
  <si>
    <t>Autres putrescibles</t>
  </si>
  <si>
    <t>Déchets de jardin</t>
  </si>
  <si>
    <t>Emballages papiers</t>
  </si>
  <si>
    <t>JRM</t>
  </si>
  <si>
    <t>Imprimés publicitaires</t>
  </si>
  <si>
    <t>Papiets bureautiques</t>
  </si>
  <si>
    <t>Autres papiers</t>
  </si>
  <si>
    <t>Emballages cartons plats</t>
  </si>
  <si>
    <t>Emballages cartons ondules</t>
  </si>
  <si>
    <t>Autres cartons</t>
  </si>
  <si>
    <t>Emballages de liquides alimentaires</t>
  </si>
  <si>
    <t>Autres emballages composites</t>
  </si>
  <si>
    <t>PAM</t>
  </si>
  <si>
    <t>Couches bébé</t>
  </si>
  <si>
    <t>Autres fraction hygiénique</t>
  </si>
  <si>
    <t>Fraction papiers souillés</t>
  </si>
  <si>
    <t>Sacs poubelles</t>
  </si>
  <si>
    <t>Autres sacs plastiques</t>
  </si>
  <si>
    <t>Autres films plastiques d'emballage</t>
  </si>
  <si>
    <t>Bouteilles et flacons en PET</t>
  </si>
  <si>
    <t>Bouteilles et flacons polyoléfines</t>
  </si>
  <si>
    <t>Autres emballages plastiques</t>
  </si>
  <si>
    <t>Autres plastiques</t>
  </si>
  <si>
    <t>Emballage en bois</t>
  </si>
  <si>
    <t>Chaussures</t>
  </si>
  <si>
    <t>Maroquinerie</t>
  </si>
  <si>
    <t>Autres combustibles</t>
  </si>
  <si>
    <t>Emballages en verre incolore</t>
  </si>
  <si>
    <t>Emballages en verre de couleur</t>
  </si>
  <si>
    <t>Autres verres</t>
  </si>
  <si>
    <t>Emballages métaux ferreux</t>
  </si>
  <si>
    <t>Emballages aluminium</t>
  </si>
  <si>
    <t>Autres métaux ferreux</t>
  </si>
  <si>
    <t>Autres métaux non ferreux</t>
  </si>
  <si>
    <t>Emballages incombustibles</t>
  </si>
  <si>
    <t>Autres incombustibles</t>
  </si>
  <si>
    <t>Déchets diffus spécifiques</t>
  </si>
  <si>
    <t>Tubes fluorescents et ampoules basse consommation</t>
  </si>
  <si>
    <t>Piles et accumulateurs</t>
  </si>
  <si>
    <t>Déchets médicaux</t>
  </si>
  <si>
    <t>Autres déchets spéciaux</t>
  </si>
  <si>
    <t>Total en %</t>
  </si>
  <si>
    <t>Composition massique</t>
  </si>
  <si>
    <t>Valorisation organique</t>
  </si>
  <si>
    <t xml:space="preserve">Recyclage consignes de tri classiques </t>
  </si>
  <si>
    <t>Recyclage (uniquement élargissement)</t>
  </si>
  <si>
    <t>Filières REP</t>
  </si>
  <si>
    <t>Valorisation Energétique</t>
  </si>
  <si>
    <t>Catégorie</t>
  </si>
  <si>
    <t>Déchets Putrescibles (autres)</t>
  </si>
  <si>
    <t>Déchets Putrescibles (jardin)</t>
  </si>
  <si>
    <t>Composites (emballage)</t>
  </si>
  <si>
    <t>Composites (autres)</t>
  </si>
  <si>
    <t>Plastiques (films)</t>
  </si>
  <si>
    <t>Plastiques (autres)</t>
  </si>
  <si>
    <t>Eléments fins</t>
  </si>
  <si>
    <t>Moyenne</t>
  </si>
  <si>
    <t>Potentiel de valorisation (%)</t>
  </si>
  <si>
    <t>MOT 2017 (% sur sec)</t>
  </si>
  <si>
    <t>Moyenne OMR</t>
  </si>
  <si>
    <t>COT 2017 (%)</t>
  </si>
  <si>
    <t>1/2 IC 2017 (%)</t>
  </si>
  <si>
    <t>1/2 IC 2017 
(% sur sec)</t>
  </si>
  <si>
    <t>Humidité moyenne 2017 
(%)</t>
  </si>
  <si>
    <t>1/2 IC 2017
(%)</t>
  </si>
  <si>
    <t xml:space="preserve">Catégories </t>
  </si>
  <si>
    <t>1. Putrescibles</t>
  </si>
  <si>
    <t>2. Papiers</t>
  </si>
  <si>
    <t>3. Cartons</t>
  </si>
  <si>
    <t>4. Composites</t>
  </si>
  <si>
    <t>5. Textiles</t>
  </si>
  <si>
    <t>6. Textiles sanitaires</t>
  </si>
  <si>
    <t>7. Plastiques</t>
  </si>
  <si>
    <t>8. Combustibles non classés</t>
  </si>
  <si>
    <t>9. Verre</t>
  </si>
  <si>
    <t>10. Métaux</t>
  </si>
  <si>
    <t>11. Incombustibles non classés</t>
  </si>
  <si>
    <t>12. Déchets dangereux</t>
  </si>
  <si>
    <t>-</t>
  </si>
  <si>
    <t>Ratios en kg/hab/an</t>
  </si>
  <si>
    <t>1/2 IC (2007)</t>
  </si>
  <si>
    <t>1/2 IC (2017)</t>
  </si>
  <si>
    <t xml:space="preserve">Composition </t>
  </si>
  <si>
    <t>Ratios (kg/hab/an)</t>
  </si>
  <si>
    <t>Gisement 
(t/an)</t>
  </si>
  <si>
    <t>Eléments fins &lt;8 mm</t>
  </si>
  <si>
    <t>Composition massique 
(%)</t>
  </si>
  <si>
    <t>1/2 IC 
(t/an)</t>
  </si>
  <si>
    <t>1/2 IC 
(kg/hab/an)</t>
  </si>
  <si>
    <t>1/2 IC
(%)</t>
  </si>
  <si>
    <t>Moyenne
(%)</t>
  </si>
  <si>
    <t>Composition massique
(%)</t>
  </si>
  <si>
    <t>Composition en catégories</t>
  </si>
  <si>
    <t>Ratio 
(kg/hab/an)</t>
  </si>
  <si>
    <t>1/2 IC 
(%)</t>
  </si>
  <si>
    <t xml:space="preserve"> Gisement national
(t/an)</t>
  </si>
  <si>
    <t>Emballages en verre
 (colore et incolore)</t>
  </si>
  <si>
    <t>Gisements 
(t/an)</t>
  </si>
  <si>
    <t>Papiers bureautiques</t>
  </si>
  <si>
    <t>Composition biodéchets</t>
  </si>
  <si>
    <t>Ratio (kg/hab/an)</t>
  </si>
  <si>
    <t>Composition moyenne 
(%)</t>
  </si>
  <si>
    <t>Biodéchets « stricts »</t>
  </si>
  <si>
    <t>dont Déchets de jardin</t>
  </si>
  <si>
    <t>dont Gaspillage alimentaire</t>
  </si>
  <si>
    <t>dont éléments fins &lt; 8 mm</t>
  </si>
  <si>
    <t>Fractions non biodéchets inclues dans les consignes de tri</t>
  </si>
  <si>
    <t>Composition en catégories classées par ordre décroissant de ratio OMA</t>
  </si>
  <si>
    <t>Ratio OMR
(kg/hab/an)</t>
  </si>
  <si>
    <t>Ratio CS
(kg/hab/an)</t>
  </si>
  <si>
    <t>Ratio OMA
(kg/hab/an)</t>
  </si>
  <si>
    <t>Sous-catégorie (consignes élargies)</t>
  </si>
  <si>
    <t>Taux de captage des CS dans les OMA
(%)</t>
  </si>
  <si>
    <t>Part conforme
Consignes de tri classiques</t>
  </si>
  <si>
    <t>Part conforme de l'extension des consignes de tri des plastiques</t>
  </si>
  <si>
    <t>Collecte emballages (hors verre) et papiers (consignes classiques)</t>
  </si>
  <si>
    <t>Collecte emballages (hors verre) et papiers  (consignes élargies)</t>
  </si>
  <si>
    <t>Erreur de tri</t>
  </si>
  <si>
    <t>Flux</t>
  </si>
  <si>
    <t>Gisement annuel (t)</t>
  </si>
  <si>
    <t>OMR</t>
  </si>
  <si>
    <t>RSOM</t>
  </si>
  <si>
    <t>Biodéchets (hors CS de déchets verts)</t>
  </si>
  <si>
    <t>OMA</t>
  </si>
  <si>
    <t>Déchèterie</t>
  </si>
  <si>
    <t>Total DMA</t>
  </si>
  <si>
    <t>Composition massique  M (%)</t>
  </si>
  <si>
    <t>1/2 IC M  
(%)</t>
  </si>
  <si>
    <t>Composition massique   AE (%)</t>
  </si>
  <si>
    <t>1/2 IC AE 
(%)</t>
  </si>
  <si>
    <t>Composition massique   MAE (%)</t>
  </si>
  <si>
    <t xml:space="preserve">1/2 IC MAE
 (%) </t>
  </si>
  <si>
    <t xml:space="preserve">Evolution des ratios OMR </t>
  </si>
  <si>
    <t>Ratio annuel global</t>
  </si>
  <si>
    <t>Ecart 
2017/1993</t>
  </si>
  <si>
    <t>Ecart 
2017/2007</t>
  </si>
  <si>
    <t>Ecart 
2007/1993</t>
  </si>
  <si>
    <t>Action de prévention</t>
  </si>
  <si>
    <t>Gisement d'évitement maximal</t>
  </si>
  <si>
    <t>(% des OMA)</t>
  </si>
  <si>
    <t>Gisement d'évitement max. individuel</t>
  </si>
  <si>
    <t>(kg/hab./an)</t>
  </si>
  <si>
    <t xml:space="preserve">Gisement d'évitement max. au niveau national </t>
  </si>
  <si>
    <t>(kt/an)</t>
  </si>
  <si>
    <t>Potentiel de réduction envisageable (cf. étude 2016)</t>
  </si>
  <si>
    <t>(%)</t>
  </si>
  <si>
    <t>Promotion du compostage domestique et partagé</t>
  </si>
  <si>
    <t>NE</t>
  </si>
  <si>
    <t>dont prévention du gaspillage alimentaire</t>
  </si>
  <si>
    <t>Réduction des imprimés non sollicités (stop pub)</t>
  </si>
  <si>
    <t>Réduction des papiers d’impression dans les activités tertiaires</t>
  </si>
  <si>
    <t xml:space="preserve"> NE </t>
  </si>
  <si>
    <t>Recours aux couches lavables</t>
  </si>
  <si>
    <t>Promotion de produits peu générateurs de déchets d’emballages</t>
  </si>
  <si>
    <t>dont développement de la vente en vrac</t>
  </si>
  <si>
    <t>Réduction de l’usage des sacs à usage unique</t>
  </si>
  <si>
    <t>Développement de la consigne pour le réemploi des bouteilles en verre</t>
  </si>
  <si>
    <t xml:space="preserve">NE </t>
  </si>
  <si>
    <t>Réemploi et réutilisation de textiles, linges et chaussures</t>
  </si>
  <si>
    <t>Total hors doublons</t>
  </si>
  <si>
    <t>Sous-catégorie (consignes classiques)</t>
  </si>
  <si>
    <t xml:space="preserve">Sous-catégories </t>
  </si>
  <si>
    <t>MOYENNE_MAE</t>
  </si>
  <si>
    <t>ECART-TYPE</t>
  </si>
  <si>
    <t>IC-95%</t>
  </si>
  <si>
    <t>putrescibles</t>
  </si>
  <si>
    <t>papier</t>
  </si>
  <si>
    <t>cartons</t>
  </si>
  <si>
    <t>composites</t>
  </si>
  <si>
    <t>textiles</t>
  </si>
  <si>
    <t>plastique</t>
  </si>
  <si>
    <t>combustibles non classés</t>
  </si>
  <si>
    <t>verre</t>
  </si>
  <si>
    <t>métaux</t>
  </si>
  <si>
    <t>incombustibles non classés</t>
  </si>
  <si>
    <t>déchets dangereux</t>
  </si>
  <si>
    <t>éléments fins &lt; 20 mm</t>
  </si>
  <si>
    <t>OMR Catégories ventilées</t>
  </si>
  <si>
    <t>Moyenne ventil 8-20</t>
  </si>
  <si>
    <t>Moyenne OMR (%)</t>
  </si>
  <si>
    <t>IC (kg/hab/an)</t>
  </si>
  <si>
    <t>Gisement national (t/an)</t>
  </si>
  <si>
    <t>Ratio OMR (Hors Outre-Mer)</t>
  </si>
  <si>
    <t>Tonnage annuel</t>
  </si>
  <si>
    <t>Autre fraction hygiénique</t>
  </si>
  <si>
    <t>IC (%)</t>
  </si>
  <si>
    <t>Moyenne M (%)</t>
  </si>
  <si>
    <t>IC M (%)</t>
  </si>
  <si>
    <t>Moyenne AE (%)</t>
  </si>
  <si>
    <t>IC AE (%)</t>
  </si>
  <si>
    <t>Moyenne MAE (%)</t>
  </si>
  <si>
    <t xml:space="preserve">IC MAE (%) </t>
  </si>
  <si>
    <t>M</t>
  </si>
  <si>
    <t>AE</t>
  </si>
  <si>
    <t>MAE</t>
  </si>
  <si>
    <t>OMR 
(avec reventilation totale des éléments fins)</t>
  </si>
  <si>
    <t>IC (2017)</t>
  </si>
  <si>
    <t>IC (2007)</t>
  </si>
  <si>
    <t>Catégories (% sur brut)</t>
  </si>
  <si>
    <t>13. Eléments fins &lt; 20 mm</t>
  </si>
  <si>
    <t>13. Eléments fins &lt; 8 mm</t>
  </si>
  <si>
    <t>OMR 
(avec reventilation des éléments fins)</t>
  </si>
  <si>
    <t>Ratio en kg/hab/an</t>
  </si>
  <si>
    <t>Graphique réalisé à partir du tableau 33 (p69) – Campagne nationale de caractérisation des ordures ménagères – tome 2 – ADEME août 2009</t>
  </si>
  <si>
    <t>Composition en % (8-20 reventilés)</t>
  </si>
  <si>
    <t>MOYENNE</t>
  </si>
  <si>
    <t>Composition en sous-catégories (consignes classiques)</t>
  </si>
  <si>
    <t>Moyenne 
(%)</t>
  </si>
  <si>
    <t>Ratio CS (kg/hab/an)</t>
  </si>
  <si>
    <t>Gisement CS
(t/an)2</t>
  </si>
  <si>
    <t>Part de la CS dans erreurs de tri pour CS classiques (%) :</t>
  </si>
  <si>
    <t>Part de la CS dans erreurs de tri pour CS classiques (kg/hab/an) :</t>
  </si>
  <si>
    <t>CS élargie</t>
  </si>
  <si>
    <t>CS total</t>
  </si>
  <si>
    <t>Données enquête Collecte 2017</t>
  </si>
  <si>
    <t>2017</t>
  </si>
  <si>
    <t>POPULATION</t>
  </si>
  <si>
    <t>TONNAGE RSOM</t>
  </si>
  <si>
    <t>RATIO_RSOM</t>
  </si>
  <si>
    <t>RSOM hors verre (hors Outre-Mer)</t>
  </si>
  <si>
    <t>IC
(%)</t>
  </si>
  <si>
    <t>Ratios
 (kg/hab/an)</t>
  </si>
  <si>
    <t>TOTAL OMA 
Composition en %</t>
  </si>
  <si>
    <t>IC
 (t/an)</t>
  </si>
  <si>
    <t xml:space="preserve">Comparaison 2007/2017 : à partir résultats 2007 (voir onglet "bilan CS 2007", "verre 2007" et "bilan CS+verre 2007") </t>
  </si>
  <si>
    <t>Recomposition ventil</t>
  </si>
  <si>
    <t>Composition en catégories classées par ordre décroissant de ratio OMA (kg/hab/an)</t>
  </si>
  <si>
    <t xml:space="preserve">Ratios OMR
</t>
  </si>
  <si>
    <t xml:space="preserve">Ratios CS
</t>
  </si>
  <si>
    <t xml:space="preserve">Ratios OMA
</t>
  </si>
  <si>
    <t>Taux de captage par les CS (%)</t>
  </si>
  <si>
    <t>,,,</t>
  </si>
  <si>
    <t>Collectes séparées</t>
  </si>
  <si>
    <t>DMA</t>
  </si>
  <si>
    <t>(dont 4,95% relevant de l'extension)</t>
  </si>
  <si>
    <t>(dont 2,45kg relevant de l'extension)</t>
  </si>
  <si>
    <r>
      <t xml:space="preserve">10 762 </t>
    </r>
    <r>
      <rPr>
        <i/>
        <sz val="11"/>
        <color theme="0" tint="-0.499984740745262"/>
        <rFont val="Calibri"/>
        <family val="2"/>
        <scheme val="minor"/>
      </rPr>
      <t>kt</t>
    </r>
  </si>
  <si>
    <r>
      <t xml:space="preserve">36 706 </t>
    </r>
    <r>
      <rPr>
        <i/>
        <sz val="11"/>
        <color theme="0" tint="-0.499984740745262"/>
        <rFont val="Calibri"/>
        <family val="2"/>
        <scheme val="minor"/>
      </rPr>
      <t>kt</t>
    </r>
  </si>
  <si>
    <r>
      <t xml:space="preserve">14 273 </t>
    </r>
    <r>
      <rPr>
        <i/>
        <sz val="11"/>
        <color theme="0" tint="-0.499984740745262"/>
        <rFont val="Calibri"/>
        <family val="2"/>
        <scheme val="minor"/>
      </rPr>
      <t>kt</t>
    </r>
  </si>
  <si>
    <r>
      <t xml:space="preserve">37 632 </t>
    </r>
    <r>
      <rPr>
        <i/>
        <sz val="11"/>
        <color theme="0" tint="-0.499984740745262"/>
        <rFont val="Calibri"/>
        <family val="2"/>
        <scheme val="minor"/>
      </rPr>
      <t>kt</t>
    </r>
  </si>
  <si>
    <t>Tonnage annuel (en t)</t>
  </si>
  <si>
    <t>IC ventil 8-20 (%)</t>
  </si>
  <si>
    <t>Composition des fines &lt;8 mm MAE</t>
  </si>
  <si>
    <t>Gisement national
(kt/an)</t>
  </si>
  <si>
    <t>IC 
(kt/an)</t>
  </si>
  <si>
    <t>Total en ktonnes/an</t>
  </si>
  <si>
    <t>Total en kg/hab/an</t>
  </si>
  <si>
    <t>Gisement 
(kt/an)</t>
  </si>
  <si>
    <t>1/2 IC 
(kt/an)</t>
  </si>
  <si>
    <t>Gisement national 
(kt/an)</t>
  </si>
  <si>
    <t>1/2 IC
 (kt/an)</t>
  </si>
  <si>
    <t>Gisements 
(kt/an)</t>
  </si>
  <si>
    <t>NE : Non Evalué</t>
  </si>
  <si>
    <t xml:space="preserve">! les taux de captage évoqués ici constituent tous une estimation minimum qu’il conviendrait de considérer à la lumière des taux d’humidité contenus dans les OMR (mesurés) mais aussi dans les CS (non mesurés). Pour exemple, le taux de captage des bouteilles et flacons se situerait ainsi entre 52 et 63%.    </t>
  </si>
  <si>
    <t>Combustibles</t>
  </si>
  <si>
    <t>%</t>
  </si>
  <si>
    <t>1/2_IC</t>
  </si>
  <si>
    <t>Tonnages</t>
  </si>
  <si>
    <t>Papiers - Cartons</t>
  </si>
  <si>
    <t xml:space="preserve">Métaux </t>
  </si>
  <si>
    <t xml:space="preserve">Déchets dangereux et autres déchets </t>
  </si>
  <si>
    <t>Catégories de déchets</t>
  </si>
  <si>
    <t>Livres</t>
  </si>
  <si>
    <t>DEEE (hors câbles électriques)</t>
  </si>
  <si>
    <t>Câbles électriques</t>
  </si>
  <si>
    <t>Matelas</t>
  </si>
  <si>
    <t>Mobiliers tapissés</t>
  </si>
  <si>
    <t>Autres composites</t>
  </si>
  <si>
    <t>Textiles (hors ameublement)</t>
  </si>
  <si>
    <t>Textiles d'ameublement</t>
  </si>
  <si>
    <t>Sacs plastiques</t>
  </si>
  <si>
    <t>Bouteilles et flacons</t>
  </si>
  <si>
    <t>Polystyrènes</t>
  </si>
  <si>
    <t>Mobiliers plastiques</t>
  </si>
  <si>
    <t>Autres plastiques souples</t>
  </si>
  <si>
    <t>Autres plastiques rigides</t>
  </si>
  <si>
    <t>Emballage en bois (bois non traité)</t>
  </si>
  <si>
    <t>Mobilier bois</t>
  </si>
  <si>
    <t>Bois traité (hors mobiliers)</t>
  </si>
  <si>
    <t>Bois non transformé (biomasse)</t>
  </si>
  <si>
    <t>Médium, isorel (hors mobilier)</t>
  </si>
  <si>
    <t>Pneumatiques</t>
  </si>
  <si>
    <t>Articles de literie rembourrés</t>
  </si>
  <si>
    <t>Verre d'emballage</t>
  </si>
  <si>
    <t>Mobilier en verre</t>
  </si>
  <si>
    <t>Emballages métalliques</t>
  </si>
  <si>
    <t>Mobiliers</t>
  </si>
  <si>
    <t>Autres métaux ferreux (hors mobiliers)</t>
  </si>
  <si>
    <t>Autres métaux non ferreux (hors mobiliers)</t>
  </si>
  <si>
    <t>Produits contenant du plâtre non valorisable</t>
  </si>
  <si>
    <t>Plâtre valorisable</t>
  </si>
  <si>
    <t>Gravats</t>
  </si>
  <si>
    <t>Laine minérale</t>
  </si>
  <si>
    <t>Mobiliers (hors métal, verre, tapissés, bois)</t>
  </si>
  <si>
    <t>Cartouches d’impression</t>
  </si>
  <si>
    <t>Bouteille de gaz</t>
  </si>
  <si>
    <t>Huiles minérales</t>
  </si>
  <si>
    <t>fines &lt;20 mm</t>
  </si>
  <si>
    <t>Autres déchets</t>
  </si>
  <si>
    <t>Composition en %</t>
  </si>
  <si>
    <t>1/2 IC</t>
  </si>
  <si>
    <t>Gisement correspondant (en tonnes)</t>
  </si>
  <si>
    <t>Autres (y.c. autres combustibles)</t>
  </si>
  <si>
    <t>Composition moyenne de la benne Bois</t>
  </si>
  <si>
    <t>Mobilier métallique</t>
  </si>
  <si>
    <t>Autres sous-catégories (dont DEEE et cables)</t>
  </si>
  <si>
    <t>Composition moyenne de la benne Métaux</t>
  </si>
  <si>
    <t>Composition moyenne de la benne Plastique</t>
  </si>
  <si>
    <t>Autres sous-catégories plastiques</t>
  </si>
  <si>
    <t>Autres sous-catégories</t>
  </si>
  <si>
    <t>Composition moyenne de la benne DEA</t>
  </si>
  <si>
    <t>Autres sous-catégories
(y.c. autres sous-cat. mobilier)</t>
  </si>
  <si>
    <t>Demi-IC à 95%</t>
  </si>
  <si>
    <t>Putrescibles</t>
  </si>
  <si>
    <t>Incombustibles</t>
  </si>
  <si>
    <t>Eléments fins &lt; 20mm</t>
  </si>
  <si>
    <t>Composition _TV_%</t>
  </si>
  <si>
    <t>1/2 IC_TV</t>
  </si>
  <si>
    <t>Composition moyenne détaillée de la benne Tout-Venant</t>
  </si>
  <si>
    <t>Composition moyenne de la benne Tout-Venant</t>
  </si>
  <si>
    <t>Gisement (en tonnes)</t>
  </si>
  <si>
    <t>Gisements (en tonnes)</t>
  </si>
  <si>
    <t>Répartition du Bois</t>
  </si>
  <si>
    <t>Bois hors mobilier (en tonnes)</t>
  </si>
  <si>
    <t>Mobilier bois (en tonnes)</t>
  </si>
  <si>
    <t xml:space="preserve">Total </t>
  </si>
  <si>
    <t>Benne Tout-venant</t>
  </si>
  <si>
    <t>Benne Bois</t>
  </si>
  <si>
    <t>Benne DEA</t>
  </si>
  <si>
    <t>Autre (pour bouclage)</t>
  </si>
  <si>
    <t xml:space="preserve">Répartition du gisement total de bois entre les différents flux potentiellement présents en déchèterie. </t>
  </si>
  <si>
    <t>Demi-IC</t>
  </si>
  <si>
    <t>Déchèteries sans benne bois ni DEA</t>
  </si>
  <si>
    <t>Déchèteries avec benne bois et sans benne DEA</t>
  </si>
  <si>
    <t>Déchèteries avec benne bois et benne DEA</t>
  </si>
  <si>
    <t>Déchèteries sans benne bois et avec benne DEA</t>
  </si>
  <si>
    <t>Typologie de déchèterie</t>
  </si>
  <si>
    <t>Taux de bois dans le TV</t>
  </si>
  <si>
    <t xml:space="preserve">Demi-IC </t>
  </si>
  <si>
    <r>
      <t xml:space="preserve">Catégories/ 
</t>
    </r>
    <r>
      <rPr>
        <i/>
        <sz val="11"/>
        <rFont val="Calibri"/>
        <family val="2"/>
        <scheme val="minor"/>
      </rPr>
      <t>Sous-catégories</t>
    </r>
  </si>
  <si>
    <t>Gisement métropolitain
(t/an)</t>
  </si>
  <si>
    <t>Gisement metropolitain 
(t/an)</t>
  </si>
  <si>
    <t>Gisement métropolitain OMR
(kt/an)</t>
  </si>
  <si>
    <t>Gisement métropolitain CS
(kt/an)</t>
  </si>
  <si>
    <t>Gisement métropolitain OMA
(kt/an)</t>
  </si>
  <si>
    <t>Gisement métropolitain (kt)</t>
  </si>
  <si>
    <t>Campagne nationale 2007</t>
  </si>
  <si>
    <t>Campagne nationale 2017</t>
  </si>
  <si>
    <t>n°</t>
  </si>
  <si>
    <t>sous-catégorie</t>
  </si>
  <si>
    <t>Exemples</t>
  </si>
  <si>
    <t>01.01</t>
  </si>
  <si>
    <t>Déchets alimentaires (reste de cuisine)</t>
  </si>
  <si>
    <t>Déchets alimentaires (restes de cuisine non consommables)</t>
  </si>
  <si>
    <t>Graisse végétale ou animale, marc de café et filtres, noyaux, épluchures, têtes de crevettes, sachets de thé pleins, os, coquilles d'œufs, d'huitre, de moules, bouteilles contenant de l'huile alimentaire usagée</t>
  </si>
  <si>
    <t>01.02</t>
  </si>
  <si>
    <t>Produits alimentaires non consommés (sous emballages)</t>
  </si>
  <si>
    <t>Pain, Fruits, légumes, fromage, gâteaux, poisson, charcuterie, gâteaux, chocolat, herbes aromatiques, restes de viande et de poisson, bouteille de soda entamée et non vide</t>
  </si>
  <si>
    <t>01.03</t>
  </si>
  <si>
    <t xml:space="preserve">Autres putrescibles </t>
  </si>
  <si>
    <t>Produits alimentaires non consommés sous emballages</t>
  </si>
  <si>
    <t>Yaourts pleins fermés, sachets de produits congelés non ouverts, barquettes d’aliments non ouvertes, canette de boisson non ouverte</t>
  </si>
  <si>
    <t>01.04</t>
  </si>
  <si>
    <t>Cadavres d’animaux (lapins, chats, rats…), excréments, croquettes et aliments pour animaux, peaux de lapin</t>
  </si>
  <si>
    <t>01.05</t>
  </si>
  <si>
    <t>Gazon coupé, herbes, fleurs, brindilles, branches, taille de haies, feuilles, résidus de jardin, résidus de potager, terre, glands, marrons</t>
  </si>
  <si>
    <t xml:space="preserve">2. Papiers </t>
  </si>
  <si>
    <t>02.01</t>
  </si>
  <si>
    <t>02.02</t>
  </si>
  <si>
    <t>Journaux, magazines et revues</t>
  </si>
  <si>
    <t>02.03</t>
  </si>
  <si>
    <t xml:space="preserve">Imprimés publicitaires </t>
  </si>
  <si>
    <t>Courrier publicitaire, publicités sur papier glacé, journaux de petites annonces gratuits (immobilier par exemple),  brochures présentant des promotions (grandes surfaces, grandes chaînes de magasins), catalogues touristiques, catalogues de produits ou de vente par correspondance, tracts</t>
  </si>
  <si>
    <t>02.04</t>
  </si>
  <si>
    <t>Papier imprimé ou papier blanc de bureau, enveloppes, enveloppes à fenêtre, papier à lettre, papier auto-copiant, photocopies, factures, listings</t>
  </si>
  <si>
    <t>02.05</t>
  </si>
  <si>
    <t xml:space="preserve">Autres papiers </t>
  </si>
  <si>
    <t>Agendas, affiches, livres reliés, livres brochés, papier épais à dessin, papier bristol, tickets d’autobus, billet de spectacle, papier peint, photos, cahiers à spirales, cahiers, papiers cadeaux, annuaires téléphoniques, notices</t>
  </si>
  <si>
    <t xml:space="preserve">3. Cartons </t>
  </si>
  <si>
    <t>03.01</t>
  </si>
  <si>
    <t xml:space="preserve">Emballages cartons plats </t>
  </si>
  <si>
    <t>Paquets de céréales, boîtes d’œufs, boîte de riz, boîtes de mouchoirs (avec ou sans opercule en plastique), boîtes de lait en poudre, de jouets, cartons de crème glacée, de yaourts, pack de bières, emballages de biscuits (même s’il reste du plastique à l’intérieur), paquets de cigarettes vides, rouleaux dévidoires de papier toilette, autres rouleaux dévidoirs, boîtes de médicaments vide</t>
  </si>
  <si>
    <t>03.02</t>
  </si>
  <si>
    <t>Emballages cartons ondulés</t>
  </si>
  <si>
    <t>Cartons ondulés, cartons de déménagement</t>
  </si>
  <si>
    <t>03.03</t>
  </si>
  <si>
    <t xml:space="preserve">Autres cartons </t>
  </si>
  <si>
    <t>Cartes d’anniversaire/ Noël, cartes postales, dossiers, chemises en carton, cartes postales, calendriers, classeur, assiette en carton</t>
  </si>
  <si>
    <t>04.01</t>
  </si>
  <si>
    <t xml:space="preserve"> Composites ELA</t>
  </si>
  <si>
    <t>Emballages de liquide alimentaires</t>
  </si>
  <si>
    <t>Briques alimentaires (lait UHT, jus de fruit, soupes, sauces, crème)</t>
  </si>
  <si>
    <t>04.02</t>
  </si>
  <si>
    <t>04.03</t>
  </si>
  <si>
    <t>Petits Appareils Electroménagers (PAM)</t>
  </si>
  <si>
    <t>Tout ou partie d’un appareil ayant fonctionné avec une prise électrique, une pile ou un accumulateur : Sèche cheveux, fer à repasser, radio, téléphone portable, rasoir électrique, circuit imprimé, calculatrice, souris, cafetière, ordinateur, montre, magnétoscope, jouet électrique, appareil photo, prise avec transformateur, rallonges, multiprises, câbles</t>
  </si>
  <si>
    <t>04.04</t>
  </si>
  <si>
    <t xml:space="preserve">5. Textiles </t>
  </si>
  <si>
    <t>05.01</t>
  </si>
  <si>
    <t>06.01</t>
  </si>
  <si>
    <t xml:space="preserve">Fraction hygiénique </t>
  </si>
  <si>
    <t>Couches bébé (hors changes lavables)</t>
  </si>
  <si>
    <t>06.02</t>
  </si>
  <si>
    <t xml:space="preserve">Fraction papiers souillés </t>
  </si>
  <si>
    <t xml:space="preserve">Autre fraction hygiénique </t>
  </si>
  <si>
    <t>Couches adultes, serviettes hygiéniques, cotons, lingettes</t>
  </si>
  <si>
    <t>06.03</t>
  </si>
  <si>
    <t>Mouchoirs en papier, papiers absorbants à usage ménager, essuie-tout, serviettes en papier, nappes en papier</t>
  </si>
  <si>
    <t>07.01</t>
  </si>
  <si>
    <t xml:space="preserve">Films polyoléfines (PE et PP) </t>
  </si>
  <si>
    <t>Sacs poubelle</t>
  </si>
  <si>
    <t>sacs poubelle classique (noir, vert,..), sacs poubelle dédiés à la collecte séparée</t>
  </si>
  <si>
    <t>07.02</t>
  </si>
  <si>
    <t>07.03</t>
  </si>
  <si>
    <t>Film d’emballage alimentaire, films étirables, sacs d’engrais, de compost, sachets de produits congelés, sachets contenus dans les paquets de céréales, papier de bouquet de fleurs, film plastique d’un pack de bouteilles d’eau, films entourant les palettes et les gros appareils électroménagers lors de leur livraison, films recouvrant les boîtes de CD, filet pour fruits et légumes</t>
  </si>
  <si>
    <t>07.04</t>
  </si>
  <si>
    <t>Code 1 (ou PET) : Bouteilles d’eau plate ou gazeuse, de boissons sucrées gazeuses, de jus de fruits, de vinaigre, de produits nettoyants, bouteilles d’huile vides, bouteilles de lait frais pasteurisé, certaines bouteilles de lait ou de produits d'entretien (PET opaque)</t>
  </si>
  <si>
    <t>07.05</t>
  </si>
  <si>
    <t>Code 2 (ou HDPE), 4 (ou LDPE), 5 (ou PP) : Bouteilles de lait, de produits de lessives</t>
  </si>
  <si>
    <t>07.06</t>
  </si>
  <si>
    <t>07.07</t>
  </si>
  <si>
    <t>Tuyaux, doubles décimètres, couvercles de WC, thermos,  brosses à dents, tubes, pichets, gobelets, boîtes plastiques hermétiques, boutons, ustensiles ménagers et jouets (fonctionnant sans prise électrique, pile ou accumulateur), pots de fleur, lunettes de soleil, stylos, cintres, pistolets à eau, cerclage en plastique de bières, cassette VHS, CD, DVD, disquette, rasoir en plastique (type « bic »), coton tige, gaine de pompe, stick désodorisant, volant de badminton, pièces automobiles, films agricoles</t>
  </si>
  <si>
    <t xml:space="preserve">8. Combustibles </t>
  </si>
  <si>
    <t>08.01</t>
  </si>
  <si>
    <t>Emballages en bois</t>
  </si>
  <si>
    <t>Cageots, cagettes, boîtes à fromage, palettes, barquettes de fruits</t>
  </si>
  <si>
    <t>08.02</t>
  </si>
  <si>
    <t>Chaussures (quel que soit le matériau) : tennis, basket, chaussures en cuir, bottes, sandales</t>
  </si>
  <si>
    <t>08.03</t>
  </si>
  <si>
    <t>Maroquinerie (quelque soit le matériau) : sac à main, sac de voyage, sac à dos, valise, ceinture</t>
  </si>
  <si>
    <t>08.04</t>
  </si>
  <si>
    <t>09.01</t>
  </si>
  <si>
    <t xml:space="preserve">Bouteilles, flacons et bocaux en verre : confitures, ketchup, mayonnaise, vinaigre, petits oignons, cornichons, pâté, café, thé en poudre, petits pots de bébé, jus de fruits limonade, parfums, vins et spiritueux, épices </t>
  </si>
  <si>
    <t>09.02</t>
  </si>
  <si>
    <t xml:space="preserve">Emballages en verre de couleur </t>
  </si>
  <si>
    <t>Bouteilles, flacons et bocaux en verre coloré :  bière, cidre, vin, eau minérale, pots de cosmétiques</t>
  </si>
  <si>
    <t>09.03</t>
  </si>
  <si>
    <t>Verres plats, miroirs, vaisselle en pyrex ou opaline, verres à boire en verre ou en cristal, petits bouts de verre, ampoule classique</t>
  </si>
  <si>
    <t>10.01</t>
  </si>
  <si>
    <t>Boîtes de boissons (bière, cola, etc), aérosols en métal ferreux n’ayant pas contenu de produit chimique toxique (ex : brumisateur, bombe de crème chantilly, déodorant, mousse à raser…), boîtes d’aliments pour animaux, boîtes de conserves (légumes, fruits, viande, poisson), couvercle, boîtes à biscuits</t>
  </si>
  <si>
    <t>10.02</t>
  </si>
  <si>
    <t>10.03</t>
  </si>
  <si>
    <t>Clés, écrous, boulons, clous, couverts, anti-vols, serre-joints, trombones, épingles de sûreté, outils, pièces automobiles, ustensiles ménagers, parapluie, boule de pétanque, lames de cutter, de rasoir</t>
  </si>
  <si>
    <t>10.04</t>
  </si>
  <si>
    <t>Autres métaux</t>
  </si>
  <si>
    <t>11. incombustibles</t>
  </si>
  <si>
    <t>11.01</t>
  </si>
  <si>
    <t>Pots de yaourt en argile, pots de moutarde en grès, barquette en terre</t>
  </si>
  <si>
    <t>11.02</t>
  </si>
  <si>
    <t>12.01</t>
  </si>
  <si>
    <t>Produits chimiques</t>
  </si>
  <si>
    <t>Emballages souillés et/ou contenant des déchets dangereux : 
- produits d'entretien maison : déboucheurs ménagers, ammoniac, soude, décapant,  teinture textile
- produits de bricolage et décoration : dissolvant, acides forts, white spirit, toluène, trichloréthylène, encre, vernis, vernis à ongles, colles, peinture, résines
- produits d'entretien véhicule : antigel, filtre à huile, anti-goudron
- produits  de jardinage, phytosanitaires et biocides (insecticides, antimousse, fongicides, engrais) et produits piscine (chlore, désinfectants)
Extincteur, fusée de détresse</t>
  </si>
  <si>
    <t>12.02</t>
  </si>
  <si>
    <t>Tubes fluorescents et lampes basse consommation</t>
  </si>
  <si>
    <t>Tubes au néon, lampes basse consommation, lampe à LED</t>
  </si>
  <si>
    <t>12.03</t>
  </si>
  <si>
    <t>Batteries de voiture, piles boutons, piles alcalines, piles salines, piles rechargeables, accumulateur de téléphones mobiles, accumulateur d'outillage</t>
  </si>
  <si>
    <t>12.04</t>
  </si>
  <si>
    <t>- Déchets d'activité de soins perforants (seringues,…)
- Médicaments (produit avec son emballage)
- Radiographies</t>
  </si>
  <si>
    <t>12.05</t>
  </si>
  <si>
    <t>- Cartouches jet d'encre, toner, bac de trop plein toner
- Produits contenant du mercure (thermomètre à mercure)
- Négatifs photographiques
- Autres déchets dangereux : amiante, déchets explosifs (pétard, feu d'artifice), huiles minérales</t>
  </si>
  <si>
    <t>12.06</t>
  </si>
  <si>
    <t>12.07</t>
  </si>
  <si>
    <t>12.08</t>
  </si>
  <si>
    <t>12.09</t>
  </si>
  <si>
    <t>13. Eléments fins</t>
  </si>
  <si>
    <t>13.01</t>
  </si>
  <si>
    <t>Eléments fins entre 8 et 20 mm</t>
  </si>
  <si>
    <t>Tous déchets entre 8 et 20 mm</t>
  </si>
  <si>
    <t>13.02</t>
  </si>
  <si>
    <t>Eléments fins &lt; 8 mm</t>
  </si>
  <si>
    <t>Tous déchets &lt; 8 mm</t>
  </si>
  <si>
    <t>Sacs ou sachets en papier, papiers d’emballage, papier d’emballages spéciaux (viande, poisson, fromage, beurre), Papier de sucre, sachets à sandwiches</t>
  </si>
  <si>
    <t>Emballages de café, emballages de saumon, emballage de beurre/viande/poisson (avec aluminium), échantillons shampoing, paquets de chips</t>
  </si>
  <si>
    <t>Textiles fibres naturelles et synthétiques (hors sacs et chaussures): vêtements, chiffons en fibres naturelles (coton, laine, lin…) et en textiles synthétiques (bas, collants, toiles), torchons, mouchoirs en tissu, serviettes, pelotes de laine, brin, ficelle, corde, rideau, couverture, changes bébé lavables, couvre-chefs, vêtements de pluie, fourrures, ...</t>
  </si>
  <si>
    <t>Bois (planches), caoutchouc, préservatifs, cigarettes, tapis, fourrures, bandes élastiques, peluches, sacs d’aspirateur (avec le contenu), crayons, gommes, pneus, tétines,  balles de tennis, cadre en bois, chutes de moquette, bougie, rollers, oreiller, couette, duvet, charbon de bois, litière pour animaux non minérales (type copeaux), filtre à air, balai rouleau de papier collant, liège, flacon rempli de liquide vaisselle, vêtements en cuir et fourrure naturelle, ...</t>
  </si>
  <si>
    <t>Boîtes de boissons (bière, cola, etc), boîtes de conserve, barquette, aérosols en aluminium n'ayant pas contenu de produit chimique toxique, capsules Nespresso</t>
  </si>
  <si>
    <t>Matériaux inertes non classés dans les autres catégories (gravats, pierres, poteries), céramiques, carreaux, faïence ou porcelaine, briques, pots de fleur en terre, plâtre, objets en pierre, litière minérale des animaux ouvrir les sacs(--&gt; fines), fusibles</t>
  </si>
  <si>
    <t>Journaux locaux et nationaux (presse quotidienne nationale ou régionale ou gratuite type 20 minutes), brochures avec ou sans papier glacé, Magazines,  journaux des collectivités, documents publiés par un service public (mairie, conseil général, conseil régional, état, ministère…)</t>
  </si>
  <si>
    <t>Sacs de courses ou de conditionnement sur place (tout sac en film plastique non dédié à l'emballage d'un produit spécifique) : sacs de supermarchés (sacs souples, sacs cabas,..), sacs en plastiques des commerces et magasins, sacs fruits et légumes, sacs biodégradables</t>
  </si>
  <si>
    <t xml:space="preserve">Boîtes à œufs en plastique, barquettes alimentaires, calage électroménager, barquettes en mousse polystyrène, blister (emballage en plastique moulé, souvent associé à un carton, ex : emballage de pile, brosse à dent, stylo, ampoules…), alvéoles, pots vides de produits laitiers et de margarine, boîte de crème glacée, couvercles (uniquement pour les emballages alimentaires), tubes de dentifrices, recharge d’adoucissant vide (berlingots), les brosses à mascara faisant partie du couvercle du récipient / Bouchons seuls / Bouteilles et flacons en PVC, code 3 (ou PVC), capsules café/tisane/... en plastique  </t>
  </si>
  <si>
    <t>Profilés, couverts, vaisselle, ustensiles de cuisine, gourde, pièces de vélo, serre-joints, objets moulés (robinetterie, casseroles, fils de cuivre, etc,), tuyauterie, pièces automobiles, capsules de lait ou de yaourt, paquets craquants, aluminium ménager : feuille d’aluminium</t>
  </si>
  <si>
    <t>OMR - CS</t>
  </si>
  <si>
    <t>Déchèteries</t>
  </si>
  <si>
    <t xml:space="preserve">Déchets alimentaires </t>
  </si>
  <si>
    <t>Tout déchets alimentaires (restes de cuisine, produits alimentaires non consommés, produits alimentaires sous emballages)</t>
  </si>
  <si>
    <t>Tous papiers (sauf les livres)</t>
  </si>
  <si>
    <t>02.06</t>
  </si>
  <si>
    <t>Livres (romans, dictionnaire,livres reliés, livres brochés,..)</t>
  </si>
  <si>
    <t>Paquets de céréales, boîtes d’œufs, boîtes de mouchoirs (avec ou sans opercule en plastique), boîtes de lait en poudre, de jouets, cartons de crème glacée, de yaourts, pack de bières, emballages de biscuits (même s’il reste du plastique à l’intérieur), paquets de cigarettes vides, rouleaux dévidoires de papier toilette</t>
  </si>
  <si>
    <t>Tout ou partie d’un appareil ayant fonctionné avec une prise électrique, une pile ou un accumulateur : Sèche cheveux, fer à repasser, radio, téléphone portable, rasoir électrique, circuit imprimé, calculatrice, souris, cafetière, ordinateur, montre, magnétoscope, jouet électrique, appareil photo, prise avec transformateur</t>
  </si>
  <si>
    <t>Rallonges avec ou sans multiprises, prises, interrupteurs, chutes de câbles…</t>
  </si>
  <si>
    <t>04.05</t>
  </si>
  <si>
    <t>Matelas à ressorts, matelas mousse, matelas latex</t>
  </si>
  <si>
    <t>04.06</t>
  </si>
  <si>
    <t>Canapés, fauteuils, sommiers tapissés</t>
  </si>
  <si>
    <t>04.08</t>
  </si>
  <si>
    <t>Casques, isolants multicouches, raquettes</t>
  </si>
  <si>
    <t>05.02</t>
  </si>
  <si>
    <t>Tapis, rideaux, voilages</t>
  </si>
  <si>
    <t>Textiles sanitaires fraction hygiénique (Couches, serviettes hygiéniques, cotons, lingettes) + textiles sanitaires fraction papiers souillés (Mouchoirs en papier, papiers absorbants à usage ménager, essuie-tout, serviettes en papier, nappes en papier)</t>
  </si>
  <si>
    <t>Sacs poubelle classique (noir, vert,..), sacs poubelle dédiés à la collecte séparée</t>
  </si>
  <si>
    <r>
      <t xml:space="preserve">Film d’emballage alimentaire, films étirables, sacs d’engrais, de compost, sachets de produits congelés, sachets contenus dans les paquets de céréales, papier de bouquet de fleurs, film plastique d’un pack de bouteilles d’eau, films entourant les palettes et les gros appareils électroménagers lors de leur livraison, films recouvrant les boîtes de CD, filet pour fruits et légumes, </t>
    </r>
    <r>
      <rPr>
        <strike/>
        <sz val="9"/>
        <rFont val="Calibri"/>
        <family val="2"/>
        <scheme val="minor"/>
      </rPr>
      <t>films agricoles</t>
    </r>
  </si>
  <si>
    <t>Emballages polystyrène, isolants, calages</t>
  </si>
  <si>
    <t>07.08</t>
  </si>
  <si>
    <t>Tout ou partie de meubles en plastique : tables de jardin, chaises</t>
  </si>
  <si>
    <t>07.09</t>
  </si>
  <si>
    <t>Emballages en bois (Bois non traité)</t>
  </si>
  <si>
    <t>Maroquinerie (quelque soit le matériau) : sac à main, sac de voyage, sac à dos, valise, ceinture en cuire</t>
  </si>
  <si>
    <t>08.05</t>
  </si>
  <si>
    <t>Mobiliers bois</t>
  </si>
  <si>
    <t>Tout ou partie de meubles en bois : tables, chaises, commode, armoire, meubles de cuisine, meubles suspendus</t>
  </si>
  <si>
    <t>08.06</t>
  </si>
  <si>
    <t>08.07</t>
  </si>
  <si>
    <t>Souches, copeaux</t>
  </si>
  <si>
    <t>08.08</t>
  </si>
  <si>
    <t>08.09</t>
  </si>
  <si>
    <t>08.10</t>
  </si>
  <si>
    <t>Oreiller, couette, duvet</t>
  </si>
  <si>
    <t>Bouteilles, bocaux</t>
  </si>
  <si>
    <t>09.04</t>
  </si>
  <si>
    <t>Mobiliers en verre</t>
  </si>
  <si>
    <t>Plateau de table en verre</t>
  </si>
  <si>
    <t>Verres hors emballages et hors mobilier : Verres contenu dans les huisseries et menuiseries, vitres, glaces, verre trempé, pare-brise, aquarium, ampoule à filaments, verre à boire</t>
  </si>
  <si>
    <t>Boîtes de conserves, canettes de boisson</t>
  </si>
  <si>
    <t>10.05</t>
  </si>
  <si>
    <t>Tout ou partie de meubles métalliques : armoire, table, caisson, étagères</t>
  </si>
  <si>
    <t xml:space="preserve">Objets en fer forgé, grillage, gouttières, outils, tuyaux, casseroles, poêles, étendoirs… </t>
  </si>
  <si>
    <t>11.03</t>
  </si>
  <si>
    <t>Produits contenant du  plâtre non valorisable</t>
  </si>
  <si>
    <t>11.04</t>
  </si>
  <si>
    <t>Chutes de plaque de plâtre, carreaux de plâtre</t>
  </si>
  <si>
    <t>11.05</t>
  </si>
  <si>
    <t>11.06</t>
  </si>
  <si>
    <t>laines de roche, laine de verre</t>
  </si>
  <si>
    <t>11.07</t>
  </si>
  <si>
    <t>Tout ou partie de meubles en marbre, granit</t>
  </si>
  <si>
    <t>Poterie, carrelagen faïence, porcelaines, sanitaires, céramiques</t>
  </si>
  <si>
    <t xml:space="preserve">Cartouches d’impression </t>
  </si>
  <si>
    <t>Cartouches jet d'encre, toner, bac de trop plein toner</t>
  </si>
  <si>
    <t>huiles minérales</t>
  </si>
  <si>
    <t>- Produits contenant du mercure (thermomètre à mercure)
- Négatifs photographiques
- Autres déchets dangereux : amiante, déchets explosifs (pétard, feu d'artifice)</t>
  </si>
  <si>
    <t>Fines &lt; 20 mm</t>
  </si>
  <si>
    <t>Tout déchet &lt; 20 mm</t>
  </si>
  <si>
    <t>Emballages de café, emballages de saumon, emballage de beurre/ viande/poisson (avec aluminium), échantillons shampoing, paquets de chips</t>
  </si>
  <si>
    <t>Textiles fibres naturelles et synthétiques (hors sacs et chaussures, hors textiles d'ameublement): vêtements, chiffons en fibres naturelles (coton, laine, lin…) et en textiles synthétiques (bas, collants, toiles), torchons, mouchoirs en tissu, serviettes, pelotes de laine, brin, ficelle, corde, couverture, changes bébé lavables, couvre-chefs, vêtements de pluie, fourrure, ...</t>
  </si>
  <si>
    <t xml:space="preserve">Sacs de courses ou de conditionnement sur place (tout sac en film plastique non dédié à l'emballage d'un produit spécifique) : sacs de supermarchés (sacs souples, sacs cabas,..), sacs en plastiques des commerces et magasins, sacs fruits et légumes,  sacs biodégradables, sacs à gravats, big bag </t>
  </si>
  <si>
    <t xml:space="preserve">Boîtes à œufs en plastique, blister (emballage en plastique moulé, souvent associé à un carton, ex : emballage de pile, brosse à dent, stylo, ampoules…), alvéoles, pots vides de produits laitiers et de margarine, boîte de crème glacée, couvercles (uniquement pour les emballages alimentaires), tubes de dentifrices, recharge d’adoucissant vide (berlingots), les brosses à mascara faisant partie du couvercle du récipient / Bouchons seuls / Bouteilles et flacons en PVC, code 3 (ou PVC),  capsules café/tisane/... en plastique  </t>
  </si>
  <si>
    <t>Films agricoles, bâches, matelas et piscines gonflables</t>
  </si>
  <si>
    <t>Tuyaux, couvercles de WC, tubes, pichets, gobelets, boîtes plastiques hermétiques, boutons, ustensiles ménagers et jouets (fonctionnant sans prise électrique, pile ou accumulateur), pots de fleur, cerclage en plastique de bières, cassette VHS, CD, DVD, disquette, rasoir en plastique (type « bic »), coton tige, gaine de pompe, stick désodorisant, pièces automobiles, huisseries en PVC sans verre</t>
  </si>
  <si>
    <t>Bois traités en autoclave, peints ou vernis, en bois contreplaqué, aggloméré, mélaminé : portiques, clôture de jardin, huisseries en bois sans verre, parquets
hors meubles, hors traverses de chemins de fer et hors poteaux télégraphiques</t>
  </si>
  <si>
    <t>Caoutchouc,  bandes élastiques, peluches sans composants électriques, moquette, bougie, rollers, charbon de bois, filtre à air, balai rouleau de papier collant, liège, sacs d’aspirateur (avec le contenu), tapis de gym en mousse, bloc de mousse, mousse expansée, vêtements en cuir et fourrure naturelle, ...</t>
  </si>
  <si>
    <t>Cuivre, plomb, aluminium, gouttières, éviers, casseroles, poêles, huisseries en alu sans verre</t>
  </si>
  <si>
    <t>Gravats contenant du plâtre, sacs de plâtre</t>
  </si>
  <si>
    <t>Pierre, béton, parpaings, sacs de ciment contenant encore du ciment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</si>
</sst>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0000"/>
    <numFmt numFmtId="167" formatCode="0.000"/>
    <numFmt numFmtId="168" formatCode="0.0%"/>
    <numFmt numFmtId="169" formatCode="#,##0.0"/>
  </numFmts>
  <fonts count="50" x14ac:knownFonts="1">
    <font>
      <sz val="10"/>
      <color theme="1"/>
      <name val="Arial"/>
      <family val="2"/>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i/>
      <sz val="10"/>
      <name val="Calibri"/>
      <family val="2"/>
      <scheme val="minor"/>
    </font>
    <font>
      <b/>
      <sz val="11"/>
      <color theme="1"/>
      <name val="Calibri"/>
      <family val="2"/>
      <scheme val="minor"/>
    </font>
    <font>
      <i/>
      <sz val="10"/>
      <color theme="1"/>
      <name val="Arial"/>
      <family val="2"/>
    </font>
    <font>
      <i/>
      <sz val="11"/>
      <color theme="1"/>
      <name val="Calibri"/>
      <family val="2"/>
      <scheme val="minor"/>
    </font>
    <font>
      <sz val="10"/>
      <color theme="1"/>
      <name val="Arial"/>
      <family val="2"/>
    </font>
    <font>
      <b/>
      <sz val="10"/>
      <color theme="1"/>
      <name val="Arial"/>
      <family val="2"/>
    </font>
    <font>
      <b/>
      <sz val="11"/>
      <color rgb="FF000000"/>
      <name val="Calibri"/>
      <family val="2"/>
      <scheme val="minor"/>
    </font>
    <font>
      <b/>
      <i/>
      <sz val="10"/>
      <color rgb="FF000000"/>
      <name val="Calibri"/>
      <family val="2"/>
      <scheme val="minor"/>
    </font>
    <font>
      <sz val="11"/>
      <color rgb="FF000000"/>
      <name val="Calibri"/>
      <family val="2"/>
      <scheme val="minor"/>
    </font>
    <font>
      <i/>
      <sz val="10"/>
      <color rgb="FF000000"/>
      <name val="Calibri"/>
      <family val="2"/>
      <scheme val="minor"/>
    </font>
    <font>
      <sz val="11"/>
      <color theme="1"/>
      <name val="Calibri"/>
      <family val="2"/>
      <scheme val="minor"/>
    </font>
    <font>
      <b/>
      <sz val="11"/>
      <color rgb="FF000000"/>
      <name val="Calibri"/>
      <family val="2"/>
    </font>
    <font>
      <b/>
      <i/>
      <sz val="10"/>
      <color theme="1"/>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b/>
      <i/>
      <sz val="10"/>
      <name val="Calibri"/>
      <family val="2"/>
      <scheme val="minor"/>
    </font>
    <font>
      <i/>
      <sz val="11"/>
      <name val="Calibri"/>
      <family val="2"/>
      <scheme val="minor"/>
    </font>
    <font>
      <sz val="11"/>
      <color theme="4" tint="-0.249977111117893"/>
      <name val="Calibri"/>
      <family val="2"/>
      <scheme val="minor"/>
    </font>
    <font>
      <sz val="12"/>
      <color theme="1"/>
      <name val="Calibri"/>
      <family val="2"/>
      <scheme val="minor"/>
    </font>
    <font>
      <b/>
      <sz val="12"/>
      <name val="Calibri"/>
      <family val="2"/>
    </font>
    <font>
      <i/>
      <sz val="12"/>
      <name val="Calibri"/>
      <family val="2"/>
    </font>
    <font>
      <b/>
      <i/>
      <sz val="11"/>
      <name val="Calibri"/>
      <family val="2"/>
      <scheme val="minor"/>
    </font>
    <font>
      <b/>
      <sz val="11"/>
      <color theme="1"/>
      <name val="Calibri"/>
      <family val="2"/>
    </font>
    <font>
      <sz val="11"/>
      <color theme="1"/>
      <name val="Calibri"/>
      <family val="2"/>
    </font>
    <font>
      <sz val="9"/>
      <color theme="1"/>
      <name val="Calibri"/>
      <family val="2"/>
    </font>
    <font>
      <sz val="9"/>
      <color rgb="FF000000"/>
      <name val="Calibri"/>
      <family val="2"/>
    </font>
    <font>
      <i/>
      <sz val="9"/>
      <color rgb="FF000000"/>
      <name val="Calibri"/>
      <family val="2"/>
    </font>
    <font>
      <sz val="10"/>
      <name val="Arial"/>
      <family val="2"/>
    </font>
    <font>
      <b/>
      <sz val="11"/>
      <color theme="4" tint="-0.249977111117893"/>
      <name val="Calibri"/>
      <family val="2"/>
      <scheme val="minor"/>
    </font>
    <font>
      <b/>
      <sz val="10"/>
      <name val="Arial"/>
      <family val="2"/>
    </font>
    <font>
      <sz val="11"/>
      <color rgb="FFFF0000"/>
      <name val="Calibri"/>
      <family val="2"/>
      <scheme val="minor"/>
    </font>
    <font>
      <sz val="11"/>
      <color rgb="FF00B050"/>
      <name val="Calibri"/>
      <family val="2"/>
      <scheme val="minor"/>
    </font>
    <font>
      <b/>
      <sz val="9"/>
      <color indexed="81"/>
      <name val="Tahoma"/>
      <family val="2"/>
    </font>
    <font>
      <sz val="9"/>
      <color indexed="81"/>
      <name val="Tahoma"/>
      <family val="2"/>
    </font>
    <font>
      <i/>
      <sz val="11"/>
      <color theme="0" tint="-0.499984740745262"/>
      <name val="Calibri"/>
      <family val="2"/>
      <scheme val="minor"/>
    </font>
    <font>
      <b/>
      <i/>
      <sz val="10"/>
      <color theme="1"/>
      <name val="Arial"/>
      <family val="2"/>
    </font>
    <font>
      <sz val="10"/>
      <color rgb="FFC00000"/>
      <name val="Arial"/>
      <family val="2"/>
    </font>
    <font>
      <b/>
      <sz val="9"/>
      <color theme="1"/>
      <name val="Calibri"/>
      <family val="2"/>
      <scheme val="minor"/>
    </font>
    <font>
      <b/>
      <sz val="9"/>
      <color indexed="8"/>
      <name val="Calibri"/>
      <family val="2"/>
      <scheme val="minor"/>
    </font>
    <font>
      <sz val="9"/>
      <color indexed="8"/>
      <name val="Calibri"/>
      <family val="2"/>
      <scheme val="minor"/>
    </font>
    <font>
      <sz val="9"/>
      <name val="Calibri"/>
      <family val="2"/>
      <scheme val="minor"/>
    </font>
    <font>
      <sz val="9"/>
      <color rgb="FF00B050"/>
      <name val="Calibri"/>
      <family val="2"/>
      <scheme val="minor"/>
    </font>
    <font>
      <b/>
      <sz val="9"/>
      <color theme="0" tint="-0.499984740745262"/>
      <name val="Calibri"/>
      <family val="2"/>
      <scheme val="minor"/>
    </font>
    <font>
      <strike/>
      <sz val="9"/>
      <name val="Calibri"/>
      <family val="2"/>
      <scheme val="minor"/>
    </font>
  </fonts>
  <fills count="23">
    <fill>
      <patternFill patternType="none"/>
    </fill>
    <fill>
      <patternFill patternType="gray125"/>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FFFF00"/>
        <bgColor indexed="64"/>
      </patternFill>
    </fill>
    <fill>
      <patternFill patternType="solid">
        <fgColor rgb="FFDDEBF7"/>
        <bgColor indexed="64"/>
      </patternFill>
    </fill>
    <fill>
      <patternFill patternType="solid">
        <fgColor rgb="FFDCE6F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66FF66"/>
        <bgColor indexed="64"/>
      </patternFill>
    </fill>
    <fill>
      <patternFill patternType="solid">
        <fgColor indexed="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right style="thin">
        <color indexed="64"/>
      </right>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ashed">
        <color indexed="64"/>
      </top>
      <bottom style="dotted">
        <color indexed="64"/>
      </bottom>
      <diagonal/>
    </border>
  </borders>
  <cellStyleXfs count="10">
    <xf numFmtId="0" fontId="0" fillId="0" borderId="0"/>
    <xf numFmtId="9" fontId="9" fillId="0" borderId="0" applyFont="0" applyFill="0" applyBorder="0" applyAlignment="0" applyProtection="0"/>
    <xf numFmtId="0" fontId="15" fillId="0" borderId="0"/>
    <xf numFmtId="9" fontId="33" fillId="0" borderId="0" applyFont="0" applyFill="0" applyBorder="0" applyAlignment="0" applyProtection="0"/>
    <xf numFmtId="9" fontId="15" fillId="0" borderId="0" applyFont="0" applyFill="0" applyBorder="0" applyAlignment="0" applyProtection="0"/>
    <xf numFmtId="0" fontId="33" fillId="0" borderId="0"/>
    <xf numFmtId="164" fontId="15" fillId="0" borderId="0" applyFont="0" applyFill="0" applyBorder="0" applyAlignment="0" applyProtection="0"/>
    <xf numFmtId="164" fontId="33" fillId="0" borderId="0" applyFont="0" applyFill="0" applyBorder="0" applyAlignment="0" applyProtection="0"/>
    <xf numFmtId="0" fontId="33" fillId="0" borderId="0"/>
    <xf numFmtId="0" fontId="1" fillId="0" borderId="0"/>
  </cellStyleXfs>
  <cellXfs count="647">
    <xf numFmtId="0" fontId="0" fillId="0" borderId="0" xfId="0"/>
    <xf numFmtId="0" fontId="3" fillId="0" borderId="1" xfId="0" applyFont="1" applyBorder="1" applyAlignment="1">
      <alignment horizontal="center" vertical="center" wrapText="1"/>
    </xf>
    <xf numFmtId="0" fontId="4" fillId="2" borderId="1" xfId="0" applyFont="1" applyFill="1" applyBorder="1"/>
    <xf numFmtId="165" fontId="4"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xf>
    <xf numFmtId="0" fontId="5" fillId="0" borderId="1" xfId="0" quotePrefix="1" applyFont="1" applyFill="1" applyBorder="1" applyAlignment="1">
      <alignment wrapText="1"/>
    </xf>
    <xf numFmtId="165" fontId="5" fillId="0" borderId="1"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0" fontId="4" fillId="3" borderId="1" xfId="0" applyFont="1" applyFill="1" applyBorder="1"/>
    <xf numFmtId="0" fontId="5" fillId="0" borderId="1" xfId="0" quotePrefix="1" applyFont="1" applyFill="1" applyBorder="1" applyAlignment="1">
      <alignment horizontal="left" wrapText="1"/>
    </xf>
    <xf numFmtId="165" fontId="4"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xf>
    <xf numFmtId="0" fontId="4" fillId="3" borderId="1" xfId="0" quotePrefix="1" applyFont="1" applyFill="1" applyBorder="1"/>
    <xf numFmtId="0" fontId="4" fillId="3" borderId="1" xfId="0" quotePrefix="1" applyFont="1" applyFill="1" applyBorder="1" applyAlignment="1">
      <alignment horizontal="left"/>
    </xf>
    <xf numFmtId="0" fontId="3" fillId="2" borderId="1" xfId="0" applyFont="1" applyFill="1" applyBorder="1"/>
    <xf numFmtId="3" fontId="3" fillId="2" borderId="1" xfId="0" applyNumberFormat="1" applyFont="1" applyFill="1" applyBorder="1"/>
    <xf numFmtId="0" fontId="6" fillId="0" borderId="1" xfId="0" applyFont="1" applyBorder="1" applyAlignment="1">
      <alignment wrapText="1"/>
    </xf>
    <xf numFmtId="0" fontId="6" fillId="0" borderId="1" xfId="0" applyFont="1" applyBorder="1" applyAlignment="1">
      <alignment horizontal="center" vertical="center" wrapText="1"/>
    </xf>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0" borderId="1" xfId="0" applyBorder="1"/>
    <xf numFmtId="0" fontId="0" fillId="8" borderId="1" xfId="0" applyFill="1" applyBorder="1"/>
    <xf numFmtId="0" fontId="0" fillId="9" borderId="1" xfId="0" applyFill="1" applyBorder="1"/>
    <xf numFmtId="0" fontId="0" fillId="10" borderId="1" xfId="0" applyFill="1" applyBorder="1"/>
    <xf numFmtId="0" fontId="0" fillId="11" borderId="1" xfId="0" applyFill="1" applyBorder="1"/>
    <xf numFmtId="0" fontId="6" fillId="0" borderId="0" xfId="0" applyFont="1"/>
    <xf numFmtId="4" fontId="6" fillId="0" borderId="0" xfId="0" applyNumberFormat="1" applyFont="1"/>
    <xf numFmtId="2" fontId="0" fillId="0" borderId="0" xfId="0" applyNumberFormat="1"/>
    <xf numFmtId="165" fontId="0" fillId="0" borderId="0" xfId="0" applyNumberFormat="1"/>
    <xf numFmtId="3" fontId="0" fillId="0" borderId="0" xfId="0" applyNumberFormat="1"/>
    <xf numFmtId="166" fontId="0" fillId="0" borderId="0" xfId="0" applyNumberFormat="1"/>
    <xf numFmtId="0" fontId="11" fillId="0" borderId="1" xfId="0" applyFont="1" applyBorder="1" applyAlignment="1">
      <alignment horizontal="lef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12" borderId="1" xfId="0" applyFont="1" applyFill="1" applyBorder="1" applyAlignment="1">
      <alignment horizontal="left" vertical="center"/>
    </xf>
    <xf numFmtId="168" fontId="13" fillId="12" borderId="1" xfId="0" applyNumberFormat="1" applyFont="1" applyFill="1" applyBorder="1" applyAlignment="1">
      <alignment horizontal="center" vertical="center"/>
    </xf>
    <xf numFmtId="168" fontId="14" fillId="12" borderId="1" xfId="0" applyNumberFormat="1" applyFont="1" applyFill="1" applyBorder="1" applyAlignment="1">
      <alignment horizontal="center" vertical="center"/>
    </xf>
    <xf numFmtId="168" fontId="13" fillId="0" borderId="1" xfId="0" applyNumberFormat="1" applyFont="1" applyBorder="1" applyAlignment="1">
      <alignment horizontal="center" vertical="center"/>
    </xf>
    <xf numFmtId="168" fontId="14" fillId="0" borderId="1" xfId="0" applyNumberFormat="1" applyFont="1" applyBorder="1" applyAlignment="1">
      <alignment horizontal="center" vertical="center"/>
    </xf>
    <xf numFmtId="0" fontId="11" fillId="0" borderId="1" xfId="0" applyFont="1" applyFill="1" applyBorder="1" applyAlignment="1">
      <alignment horizontal="left" vertical="center"/>
    </xf>
    <xf numFmtId="168" fontId="11" fillId="0" borderId="1" xfId="1" applyNumberFormat="1" applyFont="1" applyFill="1" applyBorder="1" applyAlignment="1">
      <alignment horizontal="center" vertical="center"/>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left" vertical="top"/>
    </xf>
    <xf numFmtId="165" fontId="0" fillId="0" borderId="1" xfId="0" applyNumberFormat="1" applyBorder="1" applyAlignment="1">
      <alignment horizontal="center" vertical="center"/>
    </xf>
    <xf numFmtId="2" fontId="18" fillId="0" borderId="1" xfId="0" applyNumberFormat="1" applyFont="1" applyBorder="1" applyAlignment="1">
      <alignment horizontal="center" vertical="center"/>
    </xf>
    <xf numFmtId="165" fontId="0" fillId="11" borderId="1" xfId="0" applyNumberFormat="1" applyFill="1" applyBorder="1" applyAlignment="1">
      <alignment horizontal="center" vertical="center"/>
    </xf>
    <xf numFmtId="0" fontId="18" fillId="11" borderId="1" xfId="0" applyFont="1" applyFill="1" applyBorder="1" applyAlignment="1">
      <alignment horizontal="center" vertical="center"/>
    </xf>
    <xf numFmtId="0" fontId="6" fillId="0" borderId="1" xfId="0" applyFont="1" applyFill="1" applyBorder="1" applyAlignment="1">
      <alignment horizontal="left" vertical="top"/>
    </xf>
    <xf numFmtId="2" fontId="18" fillId="11" borderId="1" xfId="0" applyNumberFormat="1" applyFont="1" applyFill="1" applyBorder="1" applyAlignment="1">
      <alignment horizontal="center" vertical="center"/>
    </xf>
    <xf numFmtId="0" fontId="6" fillId="0" borderId="1" xfId="0" applyFont="1" applyBorder="1" applyAlignment="1">
      <alignment horizontal="left" vertical="center"/>
    </xf>
    <xf numFmtId="165" fontId="6" fillId="0" borderId="1" xfId="0" applyNumberFormat="1" applyFont="1" applyBorder="1" applyAlignment="1">
      <alignment horizontal="center" vertical="center"/>
    </xf>
    <xf numFmtId="2" fontId="17" fillId="0" borderId="1" xfId="0" applyNumberFormat="1" applyFont="1" applyBorder="1" applyAlignment="1">
      <alignment horizontal="center" vertical="center"/>
    </xf>
    <xf numFmtId="165" fontId="18" fillId="0" borderId="1" xfId="0" applyNumberFormat="1" applyFont="1" applyBorder="1" applyAlignment="1">
      <alignment horizontal="center" vertical="center"/>
    </xf>
    <xf numFmtId="165" fontId="18" fillId="11" borderId="1" xfId="0" applyNumberFormat="1" applyFont="1" applyFill="1" applyBorder="1" applyAlignment="1">
      <alignment horizontal="center" vertical="center"/>
    </xf>
    <xf numFmtId="165" fontId="17"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165" fontId="0" fillId="0" borderId="5" xfId="0" applyNumberFormat="1" applyBorder="1" applyAlignment="1">
      <alignment horizontal="center" vertical="center"/>
    </xf>
    <xf numFmtId="0" fontId="6" fillId="0" borderId="3" xfId="0" applyFont="1" applyFill="1" applyBorder="1" applyAlignment="1">
      <alignment horizontal="left" vertical="center" wrapText="1"/>
    </xf>
    <xf numFmtId="0" fontId="0" fillId="0" borderId="0" xfId="0" applyAlignment="1">
      <alignment horizontal="left"/>
    </xf>
    <xf numFmtId="165" fontId="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6" fillId="12" borderId="7" xfId="0" applyFont="1" applyFill="1" applyBorder="1" applyAlignment="1">
      <alignment vertical="center"/>
    </xf>
    <xf numFmtId="0" fontId="6" fillId="12" borderId="8" xfId="0" applyFont="1" applyFill="1" applyBorder="1" applyAlignment="1">
      <alignment horizontal="center" vertical="center" wrapText="1"/>
    </xf>
    <xf numFmtId="0" fontId="6" fillId="12" borderId="9" xfId="0" applyFont="1" applyFill="1" applyBorder="1" applyAlignment="1">
      <alignment horizontal="center" vertical="center" wrapText="1"/>
    </xf>
    <xf numFmtId="0" fontId="0" fillId="12" borderId="10" xfId="0" applyFont="1" applyFill="1" applyBorder="1" applyAlignment="1">
      <alignment vertical="center"/>
    </xf>
    <xf numFmtId="165" fontId="0" fillId="12" borderId="1" xfId="0" applyNumberFormat="1" applyFill="1" applyBorder="1" applyAlignment="1">
      <alignment horizontal="center" vertical="center"/>
    </xf>
    <xf numFmtId="0" fontId="6" fillId="12" borderId="10" xfId="0" applyFont="1" applyFill="1" applyBorder="1" applyAlignment="1">
      <alignment vertical="center"/>
    </xf>
    <xf numFmtId="165" fontId="6" fillId="12" borderId="1" xfId="0" applyNumberFormat="1" applyFont="1" applyFill="1" applyBorder="1" applyAlignment="1">
      <alignment horizontal="center" vertical="center"/>
    </xf>
    <xf numFmtId="3" fontId="6" fillId="12" borderId="1" xfId="0" applyNumberFormat="1" applyFont="1" applyFill="1" applyBorder="1" applyAlignment="1">
      <alignment horizontal="center" vertical="center"/>
    </xf>
    <xf numFmtId="3" fontId="6" fillId="12" borderId="11" xfId="0" applyNumberFormat="1" applyFont="1" applyFill="1" applyBorder="1" applyAlignment="1">
      <alignment horizontal="center" vertical="center"/>
    </xf>
    <xf numFmtId="0" fontId="18" fillId="0" borderId="10" xfId="0" quotePrefix="1" applyFont="1" applyBorder="1" applyAlignment="1">
      <alignment vertical="center"/>
    </xf>
    <xf numFmtId="165" fontId="18" fillId="0" borderId="1" xfId="0" applyNumberFormat="1" applyFont="1" applyBorder="1" applyAlignment="1">
      <alignment vertical="center"/>
    </xf>
    <xf numFmtId="3" fontId="18" fillId="0" borderId="1" xfId="0" applyNumberFormat="1" applyFont="1" applyBorder="1" applyAlignment="1">
      <alignment vertical="center"/>
    </xf>
    <xf numFmtId="3" fontId="18" fillId="0" borderId="11" xfId="0" applyNumberFormat="1"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165" fontId="6" fillId="0" borderId="13" xfId="0" applyNumberFormat="1" applyFont="1" applyBorder="1" applyAlignment="1">
      <alignment vertical="center"/>
    </xf>
    <xf numFmtId="3" fontId="6" fillId="0" borderId="13" xfId="0" applyNumberFormat="1" applyFont="1" applyBorder="1" applyAlignment="1">
      <alignment vertical="center"/>
    </xf>
    <xf numFmtId="3" fontId="17" fillId="12" borderId="11" xfId="0" applyNumberFormat="1" applyFont="1" applyFill="1" applyBorder="1" applyAlignment="1">
      <alignment horizontal="center" vertical="center"/>
    </xf>
    <xf numFmtId="0" fontId="17" fillId="0" borderId="14" xfId="0" applyFont="1" applyBorder="1" applyAlignment="1">
      <alignment vertical="center"/>
    </xf>
    <xf numFmtId="165" fontId="17" fillId="12" borderId="1" xfId="0" applyNumberFormat="1" applyFont="1" applyFill="1" applyBorder="1" applyAlignment="1">
      <alignment horizontal="center" vertical="center"/>
    </xf>
    <xf numFmtId="0" fontId="17" fillId="0" borderId="13" xfId="0" applyFont="1" applyBorder="1" applyAlignment="1">
      <alignment vertical="center"/>
    </xf>
    <xf numFmtId="0" fontId="18" fillId="12" borderId="8"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0" fillId="12" borderId="10" xfId="0" applyFont="1" applyFill="1" applyBorder="1" applyAlignment="1">
      <alignment vertical="center"/>
    </xf>
    <xf numFmtId="0" fontId="4" fillId="0" borderId="15" xfId="0" applyFont="1" applyBorder="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5" xfId="0" applyFont="1" applyBorder="1"/>
    <xf numFmtId="2" fontId="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5" fillId="0" borderId="3" xfId="0" applyNumberFormat="1" applyFont="1" applyBorder="1" applyAlignment="1">
      <alignment horizontal="center" vertical="center"/>
    </xf>
    <xf numFmtId="2" fontId="4"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4" fontId="4" fillId="0" borderId="3" xfId="0" applyNumberFormat="1" applyFont="1" applyBorder="1" applyAlignment="1">
      <alignment horizontal="center" vertical="center"/>
    </xf>
    <xf numFmtId="0" fontId="22" fillId="12" borderId="5" xfId="0" applyFont="1" applyFill="1" applyBorder="1" applyAlignment="1">
      <alignment horizontal="right"/>
    </xf>
    <xf numFmtId="2" fontId="21" fillId="0" borderId="1" xfId="0" applyNumberFormat="1" applyFont="1" applyBorder="1" applyAlignment="1">
      <alignment horizontal="center" vertical="center"/>
    </xf>
    <xf numFmtId="4" fontId="21" fillId="0" borderId="3" xfId="0" applyNumberFormat="1" applyFont="1" applyBorder="1" applyAlignment="1">
      <alignment horizontal="center" vertical="center"/>
    </xf>
    <xf numFmtId="2" fontId="22" fillId="12" borderId="1" xfId="0" applyNumberFormat="1" applyFont="1" applyFill="1" applyBorder="1" applyAlignment="1">
      <alignment horizontal="right" vertical="center"/>
    </xf>
    <xf numFmtId="3" fontId="22" fillId="12" borderId="1" xfId="0" applyNumberFormat="1" applyFont="1" applyFill="1" applyBorder="1" applyAlignment="1">
      <alignment horizontal="right" vertical="center"/>
    </xf>
    <xf numFmtId="4" fontId="22" fillId="12" borderId="3" xfId="0" applyNumberFormat="1" applyFont="1" applyFill="1" applyBorder="1" applyAlignment="1">
      <alignment horizontal="right" vertical="center"/>
    </xf>
    <xf numFmtId="0" fontId="23" fillId="0" borderId="15" xfId="0" applyFont="1" applyBorder="1"/>
    <xf numFmtId="0" fontId="3" fillId="0" borderId="8" xfId="0" applyFont="1" applyBorder="1" applyAlignment="1">
      <alignment horizontal="center" vertical="center" wrapText="1"/>
    </xf>
    <xf numFmtId="165"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xf>
    <xf numFmtId="0" fontId="6" fillId="0" borderId="1" xfId="0" applyFont="1" applyBorder="1" applyAlignment="1">
      <alignment vertical="center"/>
    </xf>
    <xf numFmtId="0" fontId="6" fillId="12" borderId="1" xfId="0" applyFont="1" applyFill="1" applyBorder="1" applyAlignment="1">
      <alignment horizontal="center" vertical="center" wrapText="1"/>
    </xf>
    <xf numFmtId="0" fontId="6" fillId="0" borderId="1" xfId="0" applyFont="1" applyBorder="1"/>
    <xf numFmtId="2" fontId="0" fillId="12" borderId="1" xfId="0" applyNumberFormat="1" applyFont="1" applyFill="1" applyBorder="1" applyAlignment="1">
      <alignment horizontal="center" vertical="center" wrapText="1"/>
    </xf>
    <xf numFmtId="3" fontId="0" fillId="0" borderId="1" xfId="0" applyNumberFormat="1" applyFont="1" applyBorder="1" applyAlignment="1">
      <alignment horizontal="center" vertical="center"/>
    </xf>
    <xf numFmtId="3" fontId="0" fillId="0" borderId="1" xfId="0" applyNumberFormat="1" applyBorder="1" applyAlignment="1">
      <alignment horizontal="center" vertical="center"/>
    </xf>
    <xf numFmtId="165" fontId="0" fillId="12" borderId="1" xfId="0" applyNumberFormat="1" applyFont="1" applyFill="1" applyBorder="1" applyAlignment="1">
      <alignment horizontal="center" vertical="center" wrapText="1"/>
    </xf>
    <xf numFmtId="165" fontId="6" fillId="12" borderId="1" xfId="0" applyNumberFormat="1" applyFont="1" applyFill="1" applyBorder="1" applyAlignment="1">
      <alignment horizontal="right" vertical="center" wrapText="1"/>
    </xf>
    <xf numFmtId="3" fontId="6" fillId="0" borderId="1" xfId="0" applyNumberFormat="1" applyFont="1" applyBorder="1" applyAlignment="1">
      <alignment horizontal="right" vertical="center" wrapText="1"/>
    </xf>
    <xf numFmtId="165" fontId="6" fillId="12" borderId="1" xfId="0" applyNumberFormat="1" applyFont="1" applyFill="1" applyBorder="1"/>
    <xf numFmtId="3" fontId="6" fillId="0" borderId="1" xfId="0" applyNumberFormat="1" applyFont="1" applyBorder="1"/>
    <xf numFmtId="0" fontId="6" fillId="0" borderId="7" xfId="0" applyFont="1" applyFill="1" applyBorder="1" applyAlignment="1">
      <alignment vertical="center"/>
    </xf>
    <xf numFmtId="0" fontId="6"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6" fillId="0" borderId="10" xfId="0" applyFont="1" applyFill="1" applyBorder="1"/>
    <xf numFmtId="165" fontId="6" fillId="0" borderId="1" xfId="0" applyNumberFormat="1" applyFont="1" applyFill="1" applyBorder="1" applyAlignment="1">
      <alignment horizontal="center" vertical="center"/>
    </xf>
    <xf numFmtId="165" fontId="17" fillId="0" borderId="1" xfId="0" applyNumberFormat="1" applyFont="1" applyFill="1" applyBorder="1" applyAlignment="1">
      <alignment horizontal="center" vertical="center"/>
    </xf>
    <xf numFmtId="0" fontId="8" fillId="14" borderId="10" xfId="0" quotePrefix="1" applyFont="1" applyFill="1" applyBorder="1"/>
    <xf numFmtId="165" fontId="8" fillId="14" borderId="1" xfId="0" applyNumberFormat="1" applyFont="1" applyFill="1" applyBorder="1"/>
    <xf numFmtId="165" fontId="18" fillId="14" borderId="1" xfId="0" applyNumberFormat="1" applyFont="1" applyFill="1" applyBorder="1"/>
    <xf numFmtId="0" fontId="8" fillId="14" borderId="10" xfId="0" quotePrefix="1" applyFont="1" applyFill="1" applyBorder="1" applyAlignment="1">
      <alignment wrapText="1"/>
    </xf>
    <xf numFmtId="0" fontId="8" fillId="0" borderId="10" xfId="0" quotePrefix="1" applyFont="1" applyFill="1" applyBorder="1"/>
    <xf numFmtId="165" fontId="8" fillId="0" borderId="1" xfId="0" applyNumberFormat="1" applyFont="1" applyFill="1" applyBorder="1"/>
    <xf numFmtId="165" fontId="18" fillId="0" borderId="1" xfId="0" applyNumberFormat="1" applyFont="1" applyFill="1" applyBorder="1"/>
    <xf numFmtId="2" fontId="8" fillId="0" borderId="1" xfId="0" applyNumberFormat="1" applyFont="1" applyFill="1" applyBorder="1"/>
    <xf numFmtId="2" fontId="18" fillId="0" borderId="1" xfId="0" applyNumberFormat="1" applyFont="1" applyFill="1" applyBorder="1"/>
    <xf numFmtId="0" fontId="8" fillId="15" borderId="10" xfId="0" quotePrefix="1" applyFont="1" applyFill="1" applyBorder="1"/>
    <xf numFmtId="165" fontId="8" fillId="15" borderId="1" xfId="0" applyNumberFormat="1" applyFont="1" applyFill="1" applyBorder="1"/>
    <xf numFmtId="165" fontId="18" fillId="15" borderId="1" xfId="0" applyNumberFormat="1" applyFont="1" applyFill="1" applyBorder="1"/>
    <xf numFmtId="2" fontId="8" fillId="15" borderId="1" xfId="0" applyNumberFormat="1" applyFont="1" applyFill="1" applyBorder="1"/>
    <xf numFmtId="2" fontId="18" fillId="15" borderId="1" xfId="0" applyNumberFormat="1" applyFont="1" applyFill="1" applyBorder="1"/>
    <xf numFmtId="2" fontId="6" fillId="0" borderId="1" xfId="0" applyNumberFormat="1" applyFont="1" applyFill="1" applyBorder="1" applyAlignment="1">
      <alignment horizontal="center" vertical="center"/>
    </xf>
    <xf numFmtId="2" fontId="17" fillId="0" borderId="1" xfId="0" applyNumberFormat="1" applyFont="1" applyFill="1" applyBorder="1" applyAlignment="1">
      <alignment horizontal="center" vertical="center"/>
    </xf>
    <xf numFmtId="166" fontId="8" fillId="15" borderId="1" xfId="0" applyNumberFormat="1" applyFont="1" applyFill="1" applyBorder="1"/>
    <xf numFmtId="167" fontId="18" fillId="15" borderId="1" xfId="0" applyNumberFormat="1" applyFont="1" applyFill="1" applyBorder="1"/>
    <xf numFmtId="166" fontId="18" fillId="15" borderId="1" xfId="0" applyNumberFormat="1" applyFont="1" applyFill="1" applyBorder="1"/>
    <xf numFmtId="167" fontId="8" fillId="15" borderId="1" xfId="0" applyNumberFormat="1" applyFont="1" applyFill="1" applyBorder="1"/>
    <xf numFmtId="0" fontId="24" fillId="0" borderId="10" xfId="0" quotePrefix="1" applyFont="1" applyFill="1" applyBorder="1"/>
    <xf numFmtId="165" fontId="24" fillId="0" borderId="1" xfId="0" applyNumberFormat="1" applyFont="1" applyFill="1" applyBorder="1" applyAlignment="1">
      <alignment horizontal="center"/>
    </xf>
    <xf numFmtId="2" fontId="24" fillId="0" borderId="1" xfId="0" applyNumberFormat="1" applyFont="1" applyFill="1" applyBorder="1" applyAlignment="1">
      <alignment horizontal="center"/>
    </xf>
    <xf numFmtId="0" fontId="0" fillId="0" borderId="10" xfId="0" quotePrefix="1" applyFont="1" applyFill="1" applyBorder="1"/>
    <xf numFmtId="2" fontId="0" fillId="0" borderId="1" xfId="0" applyNumberFormat="1" applyFill="1" applyBorder="1" applyAlignment="1">
      <alignment horizontal="center" vertical="center"/>
    </xf>
    <xf numFmtId="2" fontId="18" fillId="0" borderId="1" xfId="0" applyNumberFormat="1" applyFont="1" applyFill="1" applyBorder="1" applyAlignment="1">
      <alignment horizontal="center" vertical="center"/>
    </xf>
    <xf numFmtId="167" fontId="0" fillId="0" borderId="1" xfId="0" applyNumberFormat="1" applyFill="1" applyBorder="1" applyAlignment="1">
      <alignment horizontal="center" vertical="center"/>
    </xf>
    <xf numFmtId="167" fontId="18" fillId="0" borderId="1" xfId="0" applyNumberFormat="1" applyFont="1" applyFill="1" applyBorder="1" applyAlignment="1">
      <alignment horizontal="center" vertical="center"/>
    </xf>
    <xf numFmtId="0" fontId="0" fillId="15" borderId="10" xfId="0" quotePrefix="1" applyFill="1" applyBorder="1"/>
    <xf numFmtId="165" fontId="0" fillId="15" borderId="1" xfId="0" applyNumberFormat="1" applyFill="1" applyBorder="1"/>
    <xf numFmtId="0" fontId="0" fillId="0" borderId="10" xfId="0" applyFont="1" applyFill="1" applyBorder="1"/>
    <xf numFmtId="165" fontId="0" fillId="0" borderId="1" xfId="0" applyNumberFormat="1" applyFill="1" applyBorder="1" applyAlignment="1">
      <alignment horizontal="center" vertical="center"/>
    </xf>
    <xf numFmtId="165" fontId="18" fillId="0" borderId="1" xfId="0" applyNumberFormat="1" applyFont="1" applyFill="1" applyBorder="1" applyAlignment="1">
      <alignment horizontal="center" vertical="center"/>
    </xf>
    <xf numFmtId="0" fontId="6" fillId="0" borderId="12" xfId="0" applyFont="1" applyFill="1" applyBorder="1"/>
    <xf numFmtId="0" fontId="6" fillId="0" borderId="13" xfId="0" applyFont="1" applyFill="1" applyBorder="1"/>
    <xf numFmtId="0" fontId="17" fillId="0" borderId="13" xfId="0" applyFont="1" applyFill="1" applyBorder="1"/>
    <xf numFmtId="165" fontId="6" fillId="0" borderId="13" xfId="0" applyNumberFormat="1" applyFont="1" applyFill="1" applyBorder="1"/>
    <xf numFmtId="0" fontId="4" fillId="0" borderId="15" xfId="0" applyFont="1" applyBorder="1"/>
    <xf numFmtId="0" fontId="25" fillId="0" borderId="1" xfId="0" applyFont="1" applyBorder="1" applyAlignment="1">
      <alignment vertical="center" wrapText="1"/>
    </xf>
    <xf numFmtId="0" fontId="26" fillId="0" borderId="1" xfId="0" applyFont="1" applyBorder="1" applyAlignment="1">
      <alignment horizontal="right" vertical="center" wrapText="1"/>
    </xf>
    <xf numFmtId="165" fontId="22"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165" fontId="22"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6" fillId="12" borderId="7" xfId="0" applyFont="1" applyFill="1" applyBorder="1" applyAlignment="1">
      <alignment horizontal="left" vertical="center" wrapText="1"/>
    </xf>
    <xf numFmtId="0" fontId="3" fillId="13" borderId="10" xfId="0" applyFont="1" applyFill="1" applyBorder="1" applyAlignment="1">
      <alignment horizontal="left" vertical="center" wrapText="1"/>
    </xf>
    <xf numFmtId="165" fontId="6" fillId="12" borderId="1" xfId="0" applyNumberFormat="1" applyFont="1" applyFill="1" applyBorder="1" applyAlignment="1">
      <alignment horizontal="center" vertical="center" wrapText="1"/>
    </xf>
    <xf numFmtId="3" fontId="6" fillId="12" borderId="1" xfId="0" applyNumberFormat="1" applyFont="1" applyFill="1" applyBorder="1" applyAlignment="1">
      <alignment horizontal="center" vertical="center" wrapText="1"/>
    </xf>
    <xf numFmtId="3" fontId="6" fillId="12" borderId="11" xfId="0" applyNumberFormat="1" applyFont="1" applyFill="1" applyBorder="1" applyAlignment="1">
      <alignment horizontal="center" vertical="center" wrapText="1"/>
    </xf>
    <xf numFmtId="0" fontId="20" fillId="0" borderId="10" xfId="0" quotePrefix="1" applyFont="1" applyBorder="1" applyAlignment="1">
      <alignment wrapText="1"/>
    </xf>
    <xf numFmtId="165" fontId="20" fillId="0" borderId="1" xfId="0" applyNumberFormat="1" applyFont="1" applyBorder="1"/>
    <xf numFmtId="165" fontId="20" fillId="12" borderId="1" xfId="0" applyNumberFormat="1" applyFont="1" applyFill="1" applyBorder="1"/>
    <xf numFmtId="3" fontId="20" fillId="0" borderId="1" xfId="0" applyNumberFormat="1" applyFont="1" applyBorder="1"/>
    <xf numFmtId="3" fontId="20" fillId="12" borderId="11" xfId="0" applyNumberFormat="1" applyFont="1" applyFill="1" applyBorder="1"/>
    <xf numFmtId="0" fontId="3" fillId="12" borderId="10" xfId="0" applyFont="1" applyFill="1" applyBorder="1" applyAlignment="1">
      <alignment horizontal="left" vertical="center" wrapText="1"/>
    </xf>
    <xf numFmtId="0" fontId="3" fillId="13" borderId="10" xfId="0" applyFont="1" applyFill="1" applyBorder="1" applyAlignment="1">
      <alignment wrapText="1"/>
    </xf>
    <xf numFmtId="0" fontId="3" fillId="12" borderId="10" xfId="0" applyFont="1" applyFill="1" applyBorder="1" applyAlignment="1">
      <alignment wrapText="1"/>
    </xf>
    <xf numFmtId="0" fontId="6" fillId="12" borderId="10" xfId="0" applyFont="1" applyFill="1" applyBorder="1" applyAlignment="1">
      <alignment wrapText="1"/>
    </xf>
    <xf numFmtId="0" fontId="6" fillId="12" borderId="12" xfId="0" applyFont="1" applyFill="1" applyBorder="1" applyAlignment="1">
      <alignment wrapText="1"/>
    </xf>
    <xf numFmtId="3" fontId="6" fillId="12" borderId="13" xfId="0" applyNumberFormat="1" applyFont="1" applyFill="1" applyBorder="1"/>
    <xf numFmtId="3" fontId="6" fillId="12" borderId="14" xfId="0" applyNumberFormat="1" applyFont="1" applyFill="1" applyBorder="1"/>
    <xf numFmtId="0" fontId="4" fillId="0" borderId="1" xfId="0" applyFont="1" applyFill="1" applyBorder="1" applyAlignment="1">
      <alignment horizontal="left" vertical="top"/>
    </xf>
    <xf numFmtId="168" fontId="0" fillId="0" borderId="1" xfId="0" applyNumberFormat="1" applyFill="1" applyBorder="1" applyAlignment="1">
      <alignment horizontal="center"/>
    </xf>
    <xf numFmtId="0" fontId="22" fillId="0" borderId="1" xfId="0" applyFont="1" applyFill="1" applyBorder="1" applyAlignment="1">
      <alignment horizontal="left" vertical="top"/>
    </xf>
    <xf numFmtId="168" fontId="7" fillId="0" borderId="1" xfId="0" applyNumberFormat="1" applyFont="1" applyFill="1" applyBorder="1" applyAlignment="1">
      <alignment horizontal="center"/>
    </xf>
    <xf numFmtId="0" fontId="6" fillId="0" borderId="1" xfId="0" applyFont="1" applyBorder="1" applyAlignment="1">
      <alignment horizontal="center" vertical="center"/>
    </xf>
    <xf numFmtId="0" fontId="0" fillId="0" borderId="17" xfId="0" applyBorder="1" applyAlignment="1">
      <alignment vertical="center"/>
    </xf>
    <xf numFmtId="0" fontId="0" fillId="0" borderId="15" xfId="0" applyBorder="1" applyAlignment="1"/>
    <xf numFmtId="0" fontId="28" fillId="0" borderId="1" xfId="0" applyFont="1" applyBorder="1" applyAlignment="1">
      <alignment horizontal="center" vertical="center" wrapText="1"/>
    </xf>
    <xf numFmtId="168" fontId="29" fillId="0" borderId="1" xfId="0" applyNumberFormat="1" applyFont="1" applyBorder="1" applyAlignment="1">
      <alignment horizontal="center" vertical="center"/>
    </xf>
    <xf numFmtId="165" fontId="29" fillId="0" borderId="1" xfId="0" applyNumberFormat="1" applyFont="1" applyBorder="1" applyAlignment="1">
      <alignment horizontal="center" vertical="center"/>
    </xf>
    <xf numFmtId="0" fontId="28" fillId="0" borderId="1" xfId="0" applyFont="1" applyBorder="1" applyAlignment="1">
      <alignment horizontal="left" vertical="center" wrapText="1"/>
    </xf>
    <xf numFmtId="2" fontId="29"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 fontId="0" fillId="0" borderId="1" xfId="0" applyNumberFormat="1" applyBorder="1" applyAlignment="1">
      <alignment horizontal="center"/>
    </xf>
    <xf numFmtId="0" fontId="4" fillId="0" borderId="0" xfId="0" applyFont="1"/>
    <xf numFmtId="0" fontId="3" fillId="0" borderId="1" xfId="0" applyFont="1" applyFill="1" applyBorder="1" applyAlignment="1">
      <alignment vertical="center" wrapText="1"/>
    </xf>
    <xf numFmtId="4" fontId="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6" fillId="0" borderId="0" xfId="0" applyFont="1" applyAlignment="1">
      <alignment horizontal="left"/>
    </xf>
    <xf numFmtId="0" fontId="6" fillId="0" borderId="1" xfId="0" applyFont="1" applyBorder="1" applyAlignment="1">
      <alignment horizontal="left"/>
    </xf>
    <xf numFmtId="165" fontId="0" fillId="0" borderId="1" xfId="0" applyNumberFormat="1" applyBorder="1" applyAlignment="1">
      <alignment horizontal="center"/>
    </xf>
    <xf numFmtId="0" fontId="6" fillId="0" borderId="3" xfId="0" applyFont="1" applyBorder="1" applyAlignment="1">
      <alignment vertical="center" wrapText="1"/>
    </xf>
    <xf numFmtId="0" fontId="6" fillId="0" borderId="6" xfId="0" applyFont="1" applyBorder="1" applyAlignment="1">
      <alignment vertical="center" wrapText="1"/>
    </xf>
    <xf numFmtId="0" fontId="29" fillId="0" borderId="0" xfId="0" applyFont="1" applyAlignment="1">
      <alignment wrapText="1"/>
    </xf>
    <xf numFmtId="0" fontId="29" fillId="16" borderId="1" xfId="0" applyFont="1" applyFill="1" applyBorder="1" applyAlignment="1">
      <alignment horizontal="center" vertical="center" wrapText="1"/>
    </xf>
    <xf numFmtId="9" fontId="29" fillId="16"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9" fontId="29" fillId="0" borderId="1" xfId="0" applyNumberFormat="1" applyFont="1" applyBorder="1" applyAlignment="1">
      <alignment horizontal="center" vertical="center" wrapText="1"/>
    </xf>
    <xf numFmtId="0" fontId="29" fillId="17" borderId="1" xfId="0" applyFont="1" applyFill="1" applyBorder="1" applyAlignment="1">
      <alignment horizontal="center" vertical="center" wrapText="1"/>
    </xf>
    <xf numFmtId="0" fontId="16" fillId="0" borderId="18" xfId="0" applyFont="1" applyBorder="1" applyAlignment="1">
      <alignment vertical="center"/>
    </xf>
    <xf numFmtId="4" fontId="29" fillId="0" borderId="1" xfId="0" applyNumberFormat="1" applyFont="1" applyBorder="1" applyAlignment="1">
      <alignment horizontal="center" vertical="center"/>
    </xf>
    <xf numFmtId="168" fontId="30" fillId="0" borderId="1" xfId="0" applyNumberFormat="1" applyFont="1" applyBorder="1" applyAlignment="1">
      <alignment horizontal="center" vertical="center" wrapText="1"/>
    </xf>
    <xf numFmtId="0" fontId="31" fillId="16" borderId="1" xfId="0" applyFont="1" applyFill="1" applyBorder="1" applyAlignment="1">
      <alignment horizontal="center" vertical="center" wrapText="1"/>
    </xf>
    <xf numFmtId="0" fontId="31" fillId="0" borderId="1" xfId="0" applyFont="1" applyBorder="1" applyAlignment="1">
      <alignment horizontal="justify" vertical="center"/>
    </xf>
    <xf numFmtId="0" fontId="31" fillId="0" borderId="1" xfId="0" applyFont="1" applyBorder="1" applyAlignment="1">
      <alignment horizontal="center" vertical="center"/>
    </xf>
    <xf numFmtId="3" fontId="31" fillId="0" borderId="1" xfId="0" applyNumberFormat="1" applyFont="1" applyBorder="1" applyAlignment="1">
      <alignment horizontal="center" vertical="center"/>
    </xf>
    <xf numFmtId="0" fontId="31" fillId="0" borderId="1" xfId="0" applyFont="1" applyBorder="1" applyAlignment="1">
      <alignment vertical="center"/>
    </xf>
    <xf numFmtId="0" fontId="32" fillId="16" borderId="1" xfId="0" applyFont="1" applyFill="1" applyBorder="1" applyAlignment="1">
      <alignment horizontal="justify" vertical="center"/>
    </xf>
    <xf numFmtId="0" fontId="32" fillId="16" borderId="1" xfId="0" applyFont="1" applyFill="1" applyBorder="1" applyAlignment="1">
      <alignment horizontal="center" vertical="center"/>
    </xf>
    <xf numFmtId="3" fontId="32" fillId="16" borderId="1" xfId="0" applyNumberFormat="1" applyFont="1" applyFill="1" applyBorder="1" applyAlignment="1">
      <alignment horizontal="center" vertical="center"/>
    </xf>
    <xf numFmtId="9" fontId="32" fillId="16" borderId="1" xfId="0" applyNumberFormat="1" applyFont="1" applyFill="1" applyBorder="1" applyAlignment="1">
      <alignment horizontal="center" vertical="center"/>
    </xf>
    <xf numFmtId="9" fontId="31" fillId="0" borderId="1" xfId="0" applyNumberFormat="1" applyFont="1" applyBorder="1" applyAlignment="1">
      <alignment horizontal="center" vertical="center"/>
    </xf>
    <xf numFmtId="0" fontId="31" fillId="16" borderId="1" xfId="0" applyFont="1" applyFill="1" applyBorder="1" applyAlignment="1">
      <alignment horizontal="justify" vertical="center"/>
    </xf>
    <xf numFmtId="0" fontId="31" fillId="16" borderId="1" xfId="0" applyFont="1" applyFill="1" applyBorder="1" applyAlignment="1">
      <alignment horizontal="center" vertical="center"/>
    </xf>
    <xf numFmtId="0" fontId="31" fillId="16" borderId="1" xfId="0" applyFont="1" applyFill="1" applyBorder="1" applyAlignment="1">
      <alignment vertical="center"/>
    </xf>
    <xf numFmtId="3" fontId="31" fillId="16" borderId="1" xfId="0" applyNumberFormat="1" applyFont="1" applyFill="1" applyBorder="1" applyAlignment="1">
      <alignment horizontal="center" vertical="center"/>
    </xf>
    <xf numFmtId="9" fontId="31" fillId="16" borderId="1" xfId="0" applyNumberFormat="1" applyFont="1" applyFill="1" applyBorder="1" applyAlignment="1">
      <alignment horizontal="center" vertical="center"/>
    </xf>
    <xf numFmtId="0" fontId="32" fillId="0" borderId="1" xfId="0" applyFont="1" applyBorder="1" applyAlignment="1">
      <alignment horizontal="justify" vertical="center"/>
    </xf>
    <xf numFmtId="0" fontId="32" fillId="0" borderId="1" xfId="0" applyFont="1" applyBorder="1" applyAlignment="1">
      <alignment horizontal="center" vertical="center"/>
    </xf>
    <xf numFmtId="3" fontId="32" fillId="0" borderId="1" xfId="0" applyNumberFormat="1" applyFont="1" applyBorder="1" applyAlignment="1">
      <alignment horizontal="center" vertical="center"/>
    </xf>
    <xf numFmtId="0" fontId="32" fillId="0" borderId="1" xfId="0" applyFont="1" applyBorder="1" applyAlignment="1">
      <alignment vertical="center"/>
    </xf>
    <xf numFmtId="0" fontId="29" fillId="0" borderId="1" xfId="0" applyFont="1" applyBorder="1"/>
    <xf numFmtId="0" fontId="31" fillId="16" borderId="1" xfId="0" applyFont="1" applyFill="1" applyBorder="1" applyAlignment="1">
      <alignment horizontal="right" vertical="center"/>
    </xf>
    <xf numFmtId="0" fontId="27" fillId="3" borderId="1" xfId="0" applyFont="1" applyFill="1" applyBorder="1" applyAlignment="1">
      <alignment horizontal="left" vertical="top"/>
    </xf>
    <xf numFmtId="0" fontId="7" fillId="3" borderId="1" xfId="0" applyFont="1" applyFill="1" applyBorder="1"/>
    <xf numFmtId="3" fontId="0" fillId="3" borderId="1" xfId="0" applyNumberFormat="1" applyFill="1" applyBorder="1" applyAlignment="1">
      <alignment horizontal="center"/>
    </xf>
    <xf numFmtId="0" fontId="3" fillId="0" borderId="1" xfId="0" applyFont="1" applyBorder="1" applyAlignment="1">
      <alignment horizontal="center" vertical="center"/>
    </xf>
    <xf numFmtId="0" fontId="15" fillId="0" borderId="0" xfId="2"/>
    <xf numFmtId="0" fontId="15" fillId="0" borderId="13" xfId="2" applyBorder="1"/>
    <xf numFmtId="0" fontId="4" fillId="0" borderId="15" xfId="2" applyFont="1" applyBorder="1" applyAlignment="1">
      <alignment vertical="center" wrapText="1"/>
    </xf>
    <xf numFmtId="0" fontId="4" fillId="0" borderId="2"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5" xfId="2" applyFont="1" applyBorder="1"/>
    <xf numFmtId="2" fontId="4" fillId="0" borderId="1" xfId="2" applyNumberFormat="1" applyFont="1" applyBorder="1" applyAlignment="1">
      <alignment horizontal="center" vertical="center"/>
    </xf>
    <xf numFmtId="2" fontId="4" fillId="0" borderId="1" xfId="2" applyNumberFormat="1" applyFont="1" applyBorder="1" applyAlignment="1">
      <alignment horizontal="center"/>
    </xf>
    <xf numFmtId="2" fontId="4" fillId="0" borderId="3" xfId="2" applyNumberFormat="1" applyFont="1" applyBorder="1" applyAlignment="1">
      <alignment horizontal="center"/>
    </xf>
    <xf numFmtId="0" fontId="4" fillId="0" borderId="1" xfId="2" applyFont="1" applyBorder="1"/>
    <xf numFmtId="0" fontId="4" fillId="0" borderId="3" xfId="2" applyFont="1" applyBorder="1"/>
    <xf numFmtId="0" fontId="4" fillId="0" borderId="19" xfId="2" applyFont="1" applyBorder="1"/>
    <xf numFmtId="0" fontId="4" fillId="0" borderId="18" xfId="2" applyFont="1" applyBorder="1"/>
    <xf numFmtId="0" fontId="4" fillId="0" borderId="20" xfId="2" applyFont="1" applyBorder="1"/>
    <xf numFmtId="0" fontId="4" fillId="0" borderId="7" xfId="2" applyFont="1" applyBorder="1" applyAlignment="1">
      <alignment horizontal="left"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4" fillId="0" borderId="10" xfId="2" applyFont="1" applyBorder="1" applyAlignment="1">
      <alignment horizontal="left" vertical="center"/>
    </xf>
    <xf numFmtId="165" fontId="4" fillId="0" borderId="1" xfId="2" applyNumberFormat="1" applyFont="1" applyBorder="1" applyAlignment="1">
      <alignment horizontal="center" vertical="center"/>
    </xf>
    <xf numFmtId="0" fontId="4" fillId="0" borderId="12" xfId="2" applyFont="1" applyBorder="1"/>
    <xf numFmtId="2" fontId="4" fillId="0" borderId="13" xfId="2" applyNumberFormat="1" applyFont="1" applyBorder="1" applyAlignment="1">
      <alignment horizontal="center"/>
    </xf>
    <xf numFmtId="0" fontId="15" fillId="3" borderId="13" xfId="2" applyFill="1" applyBorder="1"/>
    <xf numFmtId="0" fontId="15" fillId="0" borderId="1" xfId="2" applyFont="1" applyBorder="1"/>
    <xf numFmtId="1" fontId="15" fillId="0" borderId="0" xfId="2" applyNumberFormat="1"/>
    <xf numFmtId="1" fontId="15" fillId="0" borderId="1" xfId="2" applyNumberFormat="1" applyFont="1" applyBorder="1"/>
    <xf numFmtId="0" fontId="15" fillId="0" borderId="0" xfId="2" applyFont="1" applyBorder="1"/>
    <xf numFmtId="1" fontId="15" fillId="0" borderId="0" xfId="2" applyNumberFormat="1" applyFont="1" applyBorder="1"/>
    <xf numFmtId="0" fontId="3" fillId="0" borderId="1" xfId="2" applyFont="1" applyBorder="1" applyAlignment="1">
      <alignment vertical="center"/>
    </xf>
    <xf numFmtId="0" fontId="3" fillId="0" borderId="1" xfId="2" applyFont="1" applyBorder="1" applyAlignment="1">
      <alignment horizontal="center" vertical="center" wrapText="1"/>
    </xf>
    <xf numFmtId="165" fontId="4" fillId="3" borderId="1" xfId="2" applyNumberFormat="1" applyFont="1" applyFill="1" applyBorder="1" applyAlignment="1">
      <alignment horizontal="center" vertical="center"/>
    </xf>
    <xf numFmtId="3" fontId="4" fillId="3" borderId="1" xfId="2" applyNumberFormat="1" applyFont="1" applyFill="1" applyBorder="1" applyAlignment="1">
      <alignment horizontal="center" vertical="center"/>
    </xf>
    <xf numFmtId="165" fontId="4" fillId="0" borderId="1" xfId="2" applyNumberFormat="1" applyFont="1" applyFill="1" applyBorder="1" applyAlignment="1">
      <alignment horizontal="center" vertical="center"/>
    </xf>
    <xf numFmtId="3" fontId="4" fillId="0" borderId="1" xfId="2" applyNumberFormat="1" applyFont="1" applyFill="1" applyBorder="1" applyAlignment="1">
      <alignment horizontal="center" vertical="center"/>
    </xf>
    <xf numFmtId="3" fontId="4" fillId="0" borderId="1" xfId="2" applyNumberFormat="1" applyFont="1" applyFill="1" applyBorder="1"/>
    <xf numFmtId="2" fontId="15" fillId="0" borderId="0" xfId="2" applyNumberFormat="1"/>
    <xf numFmtId="165" fontId="15" fillId="0" borderId="0" xfId="2" applyNumberFormat="1"/>
    <xf numFmtId="3" fontId="15" fillId="0" borderId="0" xfId="2" applyNumberFormat="1"/>
    <xf numFmtId="0" fontId="4" fillId="3" borderId="1" xfId="2" applyFont="1" applyFill="1" applyBorder="1" applyAlignment="1">
      <alignment wrapText="1"/>
    </xf>
    <xf numFmtId="2" fontId="4" fillId="3" borderId="1" xfId="2" applyNumberFormat="1" applyFont="1" applyFill="1" applyBorder="1" applyAlignment="1">
      <alignment horizontal="center" vertical="center"/>
    </xf>
    <xf numFmtId="0" fontId="4" fillId="0" borderId="1" xfId="2" applyFont="1" applyFill="1" applyBorder="1" applyAlignment="1">
      <alignment wrapText="1"/>
    </xf>
    <xf numFmtId="2" fontId="4" fillId="0" borderId="1" xfId="2" applyNumberFormat="1" applyFont="1" applyFill="1" applyBorder="1" applyAlignment="1">
      <alignment horizontal="center" vertical="center"/>
    </xf>
    <xf numFmtId="0" fontId="3" fillId="0" borderId="1" xfId="2" applyFont="1" applyFill="1" applyBorder="1" applyAlignment="1">
      <alignment wrapText="1"/>
    </xf>
    <xf numFmtId="0" fontId="6" fillId="0" borderId="1" xfId="2" applyFont="1" applyBorder="1"/>
    <xf numFmtId="165" fontId="6" fillId="0" borderId="1" xfId="2" applyNumberFormat="1" applyFont="1" applyBorder="1"/>
    <xf numFmtId="0" fontId="6" fillId="0" borderId="1" xfId="2" applyFont="1" applyBorder="1" applyAlignment="1">
      <alignment horizontal="center" vertical="center"/>
    </xf>
    <xf numFmtId="3" fontId="6" fillId="0" borderId="1" xfId="2" applyNumberFormat="1" applyFont="1" applyBorder="1"/>
    <xf numFmtId="0" fontId="15" fillId="0" borderId="0" xfId="2" applyAlignment="1">
      <alignment horizontal="center"/>
    </xf>
    <xf numFmtId="0" fontId="6" fillId="0" borderId="1" xfId="2" applyFont="1" applyBorder="1" applyAlignment="1">
      <alignment horizontal="center" vertical="top"/>
    </xf>
    <xf numFmtId="0" fontId="15" fillId="0" borderId="1" xfId="2" applyBorder="1" applyAlignment="1">
      <alignment horizontal="center"/>
    </xf>
    <xf numFmtId="165" fontId="15" fillId="0" borderId="1" xfId="2" applyNumberFormat="1" applyBorder="1" applyAlignment="1">
      <alignment horizontal="center"/>
    </xf>
    <xf numFmtId="165" fontId="15" fillId="0" borderId="13" xfId="2" applyNumberFormat="1" applyBorder="1" applyAlignment="1">
      <alignment horizontal="center"/>
    </xf>
    <xf numFmtId="0" fontId="15" fillId="0" borderId="1" xfId="2" applyBorder="1" applyAlignment="1">
      <alignment horizontal="center" wrapText="1"/>
    </xf>
    <xf numFmtId="0" fontId="6" fillId="0" borderId="1" xfId="2" applyFont="1" applyBorder="1" applyAlignment="1">
      <alignment horizontal="left"/>
    </xf>
    <xf numFmtId="0" fontId="36" fillId="0" borderId="0" xfId="2" applyFont="1"/>
    <xf numFmtId="0" fontId="6" fillId="0" borderId="8"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pplyAlignment="1">
      <alignment horizontal="left" vertical="center" wrapText="1"/>
    </xf>
    <xf numFmtId="0" fontId="6" fillId="0" borderId="25" xfId="2" applyFont="1" applyBorder="1" applyAlignment="1">
      <alignment horizontal="center" vertical="center" wrapText="1"/>
    </xf>
    <xf numFmtId="0" fontId="6" fillId="6" borderId="8" xfId="2" applyFont="1" applyFill="1" applyBorder="1" applyAlignment="1">
      <alignment horizontal="center" vertical="center"/>
    </xf>
    <xf numFmtId="0" fontId="6" fillId="0" borderId="26" xfId="2" applyFont="1" applyBorder="1" applyAlignment="1">
      <alignment horizontal="center" vertical="center"/>
    </xf>
    <xf numFmtId="0" fontId="6" fillId="0" borderId="2" xfId="2" applyFont="1" applyBorder="1" applyAlignment="1">
      <alignment horizontal="center" vertical="center"/>
    </xf>
    <xf numFmtId="0" fontId="6" fillId="6" borderId="2" xfId="2" applyFont="1" applyFill="1" applyBorder="1" applyAlignment="1">
      <alignment horizontal="center" vertical="center"/>
    </xf>
    <xf numFmtId="0" fontId="6" fillId="0" borderId="27" xfId="2" applyFont="1" applyBorder="1" applyAlignment="1">
      <alignment horizontal="center" vertical="center"/>
    </xf>
    <xf numFmtId="0" fontId="6" fillId="0" borderId="10" xfId="2" applyFont="1" applyBorder="1" applyAlignment="1">
      <alignment horizontal="left" vertical="center" wrapText="1"/>
    </xf>
    <xf numFmtId="165" fontId="15" fillId="0" borderId="1" xfId="2" applyNumberFormat="1" applyBorder="1" applyAlignment="1">
      <alignment horizontal="center" vertical="center"/>
    </xf>
    <xf numFmtId="0" fontId="6" fillId="0" borderId="3" xfId="2" applyFont="1" applyBorder="1" applyAlignment="1">
      <alignment horizontal="left" vertical="center" wrapText="1"/>
    </xf>
    <xf numFmtId="168" fontId="15" fillId="0" borderId="6" xfId="2" applyNumberFormat="1" applyBorder="1" applyAlignment="1">
      <alignment horizontal="center"/>
    </xf>
    <xf numFmtId="10" fontId="15" fillId="0" borderId="1" xfId="2" applyNumberFormat="1" applyBorder="1" applyAlignment="1">
      <alignment horizontal="center"/>
    </xf>
    <xf numFmtId="10" fontId="33" fillId="6" borderId="1" xfId="5" applyNumberFormat="1" applyFont="1" applyFill="1" applyBorder="1" applyAlignment="1">
      <alignment horizontal="center"/>
    </xf>
    <xf numFmtId="168" fontId="15" fillId="6" borderId="1" xfId="2" applyNumberFormat="1" applyFill="1" applyBorder="1" applyAlignment="1">
      <alignment horizontal="center"/>
    </xf>
    <xf numFmtId="168" fontId="15" fillId="0" borderId="11" xfId="2" applyNumberFormat="1" applyBorder="1" applyAlignment="1">
      <alignment horizontal="center"/>
    </xf>
    <xf numFmtId="10" fontId="15" fillId="0" borderId="0" xfId="2" applyNumberFormat="1"/>
    <xf numFmtId="0" fontId="6" fillId="0" borderId="20" xfId="2" applyFont="1" applyBorder="1" applyAlignment="1">
      <alignment horizontal="left" vertical="center" wrapText="1"/>
    </xf>
    <xf numFmtId="165" fontId="15" fillId="0" borderId="6" xfId="2" quotePrefix="1" applyNumberFormat="1" applyBorder="1" applyAlignment="1">
      <alignment horizontal="center"/>
    </xf>
    <xf numFmtId="165" fontId="15" fillId="6" borderId="1" xfId="2" quotePrefix="1" applyNumberFormat="1" applyFill="1" applyBorder="1" applyAlignment="1">
      <alignment horizontal="center"/>
    </xf>
    <xf numFmtId="0" fontId="15" fillId="6" borderId="1" xfId="2" applyFill="1" applyBorder="1" applyAlignment="1">
      <alignment horizontal="center"/>
    </xf>
    <xf numFmtId="165" fontId="15" fillId="0" borderId="11" xfId="2" quotePrefix="1" applyNumberFormat="1" applyBorder="1" applyAlignment="1">
      <alignment horizontal="center"/>
    </xf>
    <xf numFmtId="10" fontId="15" fillId="0" borderId="28" xfId="2" applyNumberFormat="1" applyBorder="1" applyAlignment="1">
      <alignment horizontal="center"/>
    </xf>
    <xf numFmtId="10" fontId="35" fillId="6" borderId="13" xfId="5" applyNumberFormat="1" applyFont="1" applyFill="1" applyBorder="1"/>
    <xf numFmtId="0" fontId="15" fillId="6" borderId="13" xfId="2" applyFill="1" applyBorder="1"/>
    <xf numFmtId="165" fontId="15" fillId="0" borderId="14" xfId="2" quotePrefix="1" applyNumberFormat="1" applyBorder="1" applyAlignment="1">
      <alignment horizontal="center"/>
    </xf>
    <xf numFmtId="0" fontId="6" fillId="0" borderId="23" xfId="2" applyFont="1" applyFill="1" applyBorder="1" applyAlignment="1">
      <alignment horizontal="left" vertical="center" wrapText="1"/>
    </xf>
    <xf numFmtId="168" fontId="15" fillId="0" borderId="29" xfId="2" applyNumberFormat="1" applyBorder="1" applyAlignment="1">
      <alignment horizontal="center"/>
    </xf>
    <xf numFmtId="0" fontId="15" fillId="0" borderId="2" xfId="2" applyBorder="1"/>
    <xf numFmtId="168" fontId="15" fillId="6" borderId="2" xfId="2" applyNumberFormat="1" applyFill="1" applyBorder="1" applyAlignment="1">
      <alignment horizontal="center"/>
    </xf>
    <xf numFmtId="168" fontId="15" fillId="6" borderId="2" xfId="2" applyNumberFormat="1" applyFill="1" applyBorder="1"/>
    <xf numFmtId="168" fontId="15" fillId="0" borderId="30" xfId="2" applyNumberFormat="1" applyBorder="1" applyAlignment="1">
      <alignment horizontal="center"/>
    </xf>
    <xf numFmtId="0" fontId="15" fillId="0" borderId="1" xfId="2" applyBorder="1"/>
    <xf numFmtId="3" fontId="15" fillId="0" borderId="1" xfId="2" applyNumberFormat="1" applyBorder="1"/>
    <xf numFmtId="0" fontId="6" fillId="0" borderId="7" xfId="2" applyFont="1" applyBorder="1" applyAlignment="1">
      <alignment horizontal="center" vertical="center" wrapText="1"/>
    </xf>
    <xf numFmtId="0" fontId="6" fillId="0" borderId="9" xfId="2" applyFont="1" applyBorder="1" applyAlignment="1">
      <alignment horizontal="center" vertical="center"/>
    </xf>
    <xf numFmtId="165" fontId="15" fillId="0" borderId="1" xfId="2" applyNumberFormat="1" applyBorder="1"/>
    <xf numFmtId="0" fontId="6" fillId="0" borderId="10" xfId="2" applyFont="1" applyBorder="1" applyAlignment="1">
      <alignment horizontal="center" vertical="center" wrapText="1"/>
    </xf>
    <xf numFmtId="0" fontId="6" fillId="6" borderId="1" xfId="2" applyFont="1" applyFill="1" applyBorder="1" applyAlignment="1">
      <alignment horizontal="center" vertical="center"/>
    </xf>
    <xf numFmtId="165" fontId="0" fillId="0" borderId="1" xfId="4" applyNumberFormat="1" applyFont="1" applyBorder="1" applyAlignment="1">
      <alignment horizontal="center"/>
    </xf>
    <xf numFmtId="165" fontId="15" fillId="6" borderId="1" xfId="2" applyNumberFormat="1" applyFill="1" applyBorder="1" applyAlignment="1">
      <alignment horizontal="center"/>
    </xf>
    <xf numFmtId="165" fontId="15" fillId="0" borderId="1" xfId="2" quotePrefix="1" applyNumberFormat="1" applyBorder="1" applyAlignment="1">
      <alignment horizontal="center"/>
    </xf>
    <xf numFmtId="0" fontId="6" fillId="0" borderId="12" xfId="2" applyFont="1" applyFill="1" applyBorder="1" applyAlignment="1">
      <alignment horizontal="left" vertical="center" wrapText="1"/>
    </xf>
    <xf numFmtId="165" fontId="15" fillId="6" borderId="13" xfId="2" applyNumberFormat="1" applyFill="1" applyBorder="1" applyAlignment="1">
      <alignment horizontal="center"/>
    </xf>
    <xf numFmtId="0" fontId="6" fillId="0" borderId="0" xfId="2" applyFont="1" applyBorder="1" applyAlignment="1">
      <alignment horizontal="center" vertical="center"/>
    </xf>
    <xf numFmtId="165" fontId="15" fillId="12" borderId="1" xfId="2" applyNumberFormat="1" applyFill="1" applyBorder="1" applyAlignment="1">
      <alignment horizontal="center" vertical="center"/>
    </xf>
    <xf numFmtId="167" fontId="15" fillId="0" borderId="0" xfId="2" applyNumberFormat="1"/>
    <xf numFmtId="3" fontId="15" fillId="0" borderId="0" xfId="2" applyNumberFormat="1" applyBorder="1"/>
    <xf numFmtId="165" fontId="4" fillId="0" borderId="1" xfId="2" applyNumberFormat="1" applyFont="1" applyBorder="1" applyAlignment="1">
      <alignment horizontal="center"/>
    </xf>
    <xf numFmtId="0" fontId="36" fillId="0" borderId="5" xfId="2" applyFont="1" applyBorder="1"/>
    <xf numFmtId="165" fontId="36" fillId="0" borderId="1" xfId="2" applyNumberFormat="1" applyFont="1" applyBorder="1"/>
    <xf numFmtId="3" fontId="36" fillId="0" borderId="0" xfId="2" applyNumberFormat="1" applyFont="1" applyBorder="1"/>
    <xf numFmtId="0" fontId="15" fillId="0" borderId="17" xfId="2" applyBorder="1" applyAlignment="1">
      <alignment vertical="center"/>
    </xf>
    <xf numFmtId="0" fontId="15" fillId="0" borderId="15" xfId="2" applyBorder="1" applyAlignment="1"/>
    <xf numFmtId="0" fontId="28" fillId="0" borderId="1" xfId="2" applyFont="1" applyBorder="1" applyAlignment="1">
      <alignment horizontal="center" vertical="center" wrapText="1"/>
    </xf>
    <xf numFmtId="0" fontId="28" fillId="0" borderId="1" xfId="2" applyFont="1" applyBorder="1" applyAlignment="1">
      <alignment vertical="center" wrapText="1"/>
    </xf>
    <xf numFmtId="168" fontId="29" fillId="0" borderId="1" xfId="2" applyNumberFormat="1" applyFont="1" applyBorder="1" applyAlignment="1">
      <alignment horizontal="center" vertical="center"/>
    </xf>
    <xf numFmtId="165" fontId="29" fillId="0" borderId="1" xfId="2" applyNumberFormat="1" applyFont="1" applyBorder="1" applyAlignment="1">
      <alignment horizontal="center" vertical="center"/>
    </xf>
    <xf numFmtId="169" fontId="29" fillId="3" borderId="1" xfId="2" applyNumberFormat="1" applyFont="1" applyFill="1" applyBorder="1" applyAlignment="1">
      <alignment horizontal="center" vertical="center"/>
    </xf>
    <xf numFmtId="0" fontId="28" fillId="0" borderId="1" xfId="2" applyFont="1" applyBorder="1" applyAlignment="1">
      <alignment horizontal="left" vertical="center" wrapText="1"/>
    </xf>
    <xf numFmtId="2" fontId="29" fillId="0" borderId="1" xfId="2" applyNumberFormat="1" applyFont="1" applyBorder="1" applyAlignment="1">
      <alignment horizontal="center" vertical="center"/>
    </xf>
    <xf numFmtId="4" fontId="29" fillId="0" borderId="1" xfId="2" applyNumberFormat="1" applyFont="1" applyBorder="1" applyAlignment="1">
      <alignment horizontal="center" vertical="center"/>
    </xf>
    <xf numFmtId="0" fontId="37" fillId="0" borderId="5" xfId="2" applyFont="1" applyBorder="1"/>
    <xf numFmtId="165" fontId="37" fillId="0" borderId="1" xfId="2" applyNumberFormat="1" applyFont="1" applyBorder="1"/>
    <xf numFmtId="3" fontId="37" fillId="0" borderId="0" xfId="2" applyNumberFormat="1" applyFont="1" applyBorder="1"/>
    <xf numFmtId="0" fontId="4" fillId="0" borderId="15" xfId="2" applyFont="1" applyBorder="1" applyAlignment="1">
      <alignment vertical="center"/>
    </xf>
    <xf numFmtId="0" fontId="4" fillId="0" borderId="2" xfId="2" applyFont="1" applyBorder="1" applyAlignment="1">
      <alignment horizontal="center" vertical="center"/>
    </xf>
    <xf numFmtId="0" fontId="4" fillId="0" borderId="16" xfId="2" applyFont="1" applyBorder="1" applyAlignment="1">
      <alignment horizontal="center" vertical="center"/>
    </xf>
    <xf numFmtId="165" fontId="4" fillId="0" borderId="3" xfId="2" applyNumberFormat="1" applyFont="1" applyBorder="1" applyAlignment="1">
      <alignment horizontal="center"/>
    </xf>
    <xf numFmtId="165" fontId="4" fillId="0" borderId="18" xfId="2" applyNumberFormat="1" applyFont="1" applyBorder="1" applyAlignment="1">
      <alignment horizontal="center"/>
    </xf>
    <xf numFmtId="165" fontId="4" fillId="0" borderId="20" xfId="2" applyNumberFormat="1" applyFont="1" applyBorder="1" applyAlignment="1">
      <alignment horizontal="center"/>
    </xf>
    <xf numFmtId="0" fontId="15" fillId="0" borderId="0" xfId="2" applyBorder="1"/>
    <xf numFmtId="0" fontId="34" fillId="0" borderId="0" xfId="2" applyFont="1" applyBorder="1" applyAlignment="1">
      <alignment vertical="center" wrapText="1"/>
    </xf>
    <xf numFmtId="0" fontId="23" fillId="0" borderId="0" xfId="2" applyFont="1" applyFill="1" applyBorder="1" applyAlignment="1">
      <alignment horizontal="center" vertical="center"/>
    </xf>
    <xf numFmtId="165" fontId="23" fillId="0" borderId="0" xfId="2" applyNumberFormat="1" applyFont="1" applyBorder="1" applyAlignment="1">
      <alignment horizontal="center" vertical="center"/>
    </xf>
    <xf numFmtId="3" fontId="23" fillId="0" borderId="0" xfId="2" applyNumberFormat="1" applyFont="1" applyBorder="1" applyAlignment="1">
      <alignment horizontal="center" vertical="center"/>
    </xf>
    <xf numFmtId="0" fontId="34" fillId="0" borderId="0" xfId="2" applyFont="1" applyBorder="1" applyAlignment="1">
      <alignment vertical="center"/>
    </xf>
    <xf numFmtId="2" fontId="23" fillId="0" borderId="0" xfId="2" applyNumberFormat="1" applyFont="1" applyBorder="1" applyAlignment="1">
      <alignment horizontal="center" vertical="center"/>
    </xf>
    <xf numFmtId="4" fontId="15" fillId="0" borderId="0" xfId="2" applyNumberFormat="1"/>
    <xf numFmtId="0" fontId="4" fillId="0" borderId="15" xfId="2" applyFont="1" applyBorder="1" applyAlignment="1">
      <alignment horizontal="center" vertical="center" wrapText="1"/>
    </xf>
    <xf numFmtId="165" fontId="4" fillId="0" borderId="5" xfId="2" applyNumberFormat="1" applyFont="1" applyBorder="1" applyAlignment="1">
      <alignment horizontal="center"/>
    </xf>
    <xf numFmtId="169" fontId="4" fillId="0" borderId="1" xfId="2" applyNumberFormat="1" applyFont="1" applyBorder="1" applyAlignment="1">
      <alignment horizontal="center" vertical="center"/>
    </xf>
    <xf numFmtId="4" fontId="4" fillId="0" borderId="3" xfId="2" applyNumberFormat="1" applyFont="1" applyBorder="1" applyAlignment="1">
      <alignment horizontal="center" vertical="center"/>
    </xf>
    <xf numFmtId="3" fontId="4" fillId="0" borderId="3" xfId="2" applyNumberFormat="1" applyFont="1" applyBorder="1" applyAlignment="1">
      <alignment horizontal="center" vertical="center"/>
    </xf>
    <xf numFmtId="4" fontId="4" fillId="0" borderId="18" xfId="2" applyNumberFormat="1" applyFont="1" applyBorder="1" applyAlignment="1">
      <alignment horizontal="center" vertical="center"/>
    </xf>
    <xf numFmtId="3" fontId="4" fillId="0" borderId="20" xfId="2" applyNumberFormat="1" applyFont="1" applyBorder="1" applyAlignment="1">
      <alignment horizontal="center" vertical="center"/>
    </xf>
    <xf numFmtId="0" fontId="6" fillId="0" borderId="1" xfId="2" applyFont="1" applyBorder="1" applyAlignment="1">
      <alignment vertical="center"/>
    </xf>
    <xf numFmtId="2" fontId="15" fillId="0" borderId="1" xfId="2" applyNumberFormat="1" applyBorder="1" applyAlignment="1">
      <alignment horizontal="center" vertical="center"/>
    </xf>
    <xf numFmtId="3" fontId="15" fillId="0" borderId="1" xfId="2" applyNumberFormat="1" applyBorder="1" applyAlignment="1">
      <alignment horizontal="center" vertical="center"/>
    </xf>
    <xf numFmtId="0" fontId="34" fillId="0" borderId="1" xfId="2" applyFont="1" applyBorder="1"/>
    <xf numFmtId="0" fontId="6" fillId="0" borderId="0" xfId="2" applyFont="1" applyFill="1" applyBorder="1"/>
    <xf numFmtId="0" fontId="6" fillId="12" borderId="1" xfId="2" applyFont="1" applyFill="1" applyBorder="1" applyAlignment="1">
      <alignment horizontal="center" vertical="center" wrapText="1"/>
    </xf>
    <xf numFmtId="2" fontId="15" fillId="12" borderId="1" xfId="2" applyNumberFormat="1" applyFont="1" applyFill="1" applyBorder="1" applyAlignment="1">
      <alignment horizontal="center" vertical="center" wrapText="1"/>
    </xf>
    <xf numFmtId="0" fontId="15" fillId="0" borderId="1" xfId="2" applyFont="1" applyFill="1" applyBorder="1" applyAlignment="1">
      <alignment horizontal="center" vertical="center" wrapText="1"/>
    </xf>
    <xf numFmtId="3" fontId="15" fillId="0" borderId="1" xfId="2" applyNumberFormat="1" applyFont="1" applyBorder="1" applyAlignment="1">
      <alignment horizontal="center" vertical="center"/>
    </xf>
    <xf numFmtId="165" fontId="15" fillId="12" borderId="1" xfId="2" applyNumberFormat="1" applyFont="1" applyFill="1" applyBorder="1" applyAlignment="1">
      <alignment horizontal="center" vertical="center" wrapText="1"/>
    </xf>
    <xf numFmtId="165" fontId="6" fillId="12" borderId="1" xfId="2" applyNumberFormat="1" applyFont="1" applyFill="1" applyBorder="1" applyAlignment="1">
      <alignment horizontal="right" vertical="center" wrapText="1"/>
    </xf>
    <xf numFmtId="0" fontId="6" fillId="0" borderId="1" xfId="2" applyFont="1" applyBorder="1" applyAlignment="1">
      <alignment vertical="center" wrapText="1"/>
    </xf>
    <xf numFmtId="3" fontId="6" fillId="0" borderId="1" xfId="2" applyNumberFormat="1" applyFont="1" applyBorder="1" applyAlignment="1">
      <alignment horizontal="right" vertical="center" wrapText="1"/>
    </xf>
    <xf numFmtId="165" fontId="6" fillId="12" borderId="1" xfId="2" applyNumberFormat="1" applyFont="1" applyFill="1" applyBorder="1"/>
    <xf numFmtId="0" fontId="15" fillId="0" borderId="21" xfId="2" applyBorder="1"/>
    <xf numFmtId="1" fontId="15" fillId="0" borderId="1" xfId="2" applyNumberFormat="1" applyBorder="1" applyAlignment="1">
      <alignment horizontal="center" vertical="center"/>
    </xf>
    <xf numFmtId="0" fontId="19" fillId="0" borderId="15" xfId="2" applyFont="1" applyBorder="1"/>
    <xf numFmtId="0" fontId="6" fillId="0" borderId="1" xfId="2" applyFont="1" applyFill="1" applyBorder="1" applyAlignment="1">
      <alignment horizontal="center" vertical="center" wrapText="1"/>
    </xf>
    <xf numFmtId="0" fontId="23" fillId="0" borderId="1" xfId="2" applyFont="1" applyBorder="1" applyAlignment="1">
      <alignment vertical="center"/>
    </xf>
    <xf numFmtId="0" fontId="23" fillId="0" borderId="1" xfId="2" applyFont="1" applyFill="1" applyBorder="1" applyAlignment="1">
      <alignment vertical="center"/>
    </xf>
    <xf numFmtId="0" fontId="23" fillId="9" borderId="1" xfId="2" applyFont="1" applyFill="1" applyBorder="1" applyAlignment="1">
      <alignment vertical="center"/>
    </xf>
    <xf numFmtId="0" fontId="23" fillId="13" borderId="1" xfId="2" applyFont="1" applyFill="1" applyBorder="1" applyAlignment="1">
      <alignment vertical="center"/>
    </xf>
    <xf numFmtId="1" fontId="23" fillId="9" borderId="1" xfId="2" applyNumberFormat="1" applyFont="1" applyFill="1" applyBorder="1" applyAlignment="1">
      <alignment horizontal="center" vertical="center"/>
    </xf>
    <xf numFmtId="1" fontId="23" fillId="0" borderId="1" xfId="2" applyNumberFormat="1" applyFont="1" applyBorder="1" applyAlignment="1">
      <alignment horizontal="center" vertical="center"/>
    </xf>
    <xf numFmtId="4" fontId="0" fillId="0" borderId="0" xfId="0" applyNumberFormat="1"/>
    <xf numFmtId="10" fontId="0" fillId="0" borderId="0" xfId="0" applyNumberFormat="1"/>
    <xf numFmtId="0" fontId="2" fillId="0" borderId="1" xfId="2" applyFont="1" applyBorder="1"/>
    <xf numFmtId="0" fontId="2" fillId="0" borderId="0" xfId="0" applyNumberFormat="1" applyFont="1" applyFill="1" applyBorder="1" applyAlignment="1" applyProtection="1"/>
    <xf numFmtId="0" fontId="3" fillId="0" borderId="34" xfId="2" applyFont="1" applyBorder="1" applyAlignment="1">
      <alignment horizontal="center" vertical="center" wrapText="1"/>
    </xf>
    <xf numFmtId="0" fontId="15" fillId="3" borderId="35" xfId="2" applyFill="1" applyBorder="1"/>
    <xf numFmtId="4" fontId="4" fillId="0" borderId="11" xfId="2" applyNumberFormat="1" applyFont="1" applyBorder="1" applyAlignment="1">
      <alignment horizontal="center"/>
    </xf>
    <xf numFmtId="4" fontId="15" fillId="3" borderId="14" xfId="2" applyNumberFormat="1" applyFill="1" applyBorder="1"/>
    <xf numFmtId="4" fontId="2" fillId="0" borderId="0" xfId="0" applyNumberFormat="1" applyFont="1" applyFill="1" applyBorder="1" applyAlignment="1" applyProtection="1"/>
    <xf numFmtId="169" fontId="0" fillId="4" borderId="1" xfId="0" applyNumberFormat="1" applyFill="1" applyBorder="1"/>
    <xf numFmtId="169" fontId="0" fillId="5" borderId="1" xfId="0" applyNumberFormat="1" applyFill="1" applyBorder="1"/>
    <xf numFmtId="169" fontId="0" fillId="6" borderId="1" xfId="0" applyNumberFormat="1" applyFill="1" applyBorder="1"/>
    <xf numFmtId="169" fontId="0" fillId="7" borderId="1" xfId="0" applyNumberFormat="1" applyFill="1" applyBorder="1"/>
    <xf numFmtId="169" fontId="0" fillId="0" borderId="1" xfId="0" applyNumberFormat="1" applyBorder="1"/>
    <xf numFmtId="169" fontId="0" fillId="8" borderId="1" xfId="0" applyNumberFormat="1" applyFill="1" applyBorder="1"/>
    <xf numFmtId="169" fontId="0" fillId="9" borderId="1" xfId="0" applyNumberFormat="1" applyFill="1" applyBorder="1"/>
    <xf numFmtId="169" fontId="0" fillId="10" borderId="1" xfId="0" applyNumberFormat="1" applyFill="1" applyBorder="1"/>
    <xf numFmtId="169" fontId="0" fillId="11" borderId="1" xfId="0" applyNumberFormat="1" applyFill="1" applyBorder="1"/>
    <xf numFmtId="1" fontId="0" fillId="0" borderId="0" xfId="0" applyNumberFormat="1"/>
    <xf numFmtId="1" fontId="6" fillId="0" borderId="1" xfId="2" applyNumberFormat="1" applyFont="1" applyBorder="1" applyAlignment="1">
      <alignment horizontal="center" vertical="center"/>
    </xf>
    <xf numFmtId="1" fontId="0" fillId="0" borderId="1" xfId="4" applyNumberFormat="1" applyFont="1" applyBorder="1" applyAlignment="1">
      <alignment horizontal="center"/>
    </xf>
    <xf numFmtId="1" fontId="15" fillId="0" borderId="1" xfId="2" quotePrefix="1" applyNumberFormat="1" applyBorder="1" applyAlignment="1">
      <alignment horizontal="center"/>
    </xf>
    <xf numFmtId="1" fontId="15" fillId="0" borderId="13" xfId="2" applyNumberFormat="1" applyBorder="1" applyAlignment="1">
      <alignment horizontal="center"/>
    </xf>
    <xf numFmtId="1" fontId="6" fillId="6" borderId="1" xfId="2" applyNumberFormat="1" applyFont="1" applyFill="1" applyBorder="1" applyAlignment="1">
      <alignment horizontal="center" vertical="center"/>
    </xf>
    <xf numFmtId="1" fontId="15" fillId="6" borderId="1" xfId="2" applyNumberFormat="1" applyFill="1" applyBorder="1" applyAlignment="1">
      <alignment horizontal="center"/>
    </xf>
    <xf numFmtId="1" fontId="15" fillId="6" borderId="1" xfId="2" quotePrefix="1" applyNumberFormat="1" applyFill="1" applyBorder="1" applyAlignment="1">
      <alignment horizontal="center"/>
    </xf>
    <xf numFmtId="1" fontId="15" fillId="6" borderId="13" xfId="2" applyNumberFormat="1" applyFill="1" applyBorder="1" applyAlignment="1">
      <alignment horizontal="center"/>
    </xf>
    <xf numFmtId="1" fontId="6" fillId="0" borderId="11" xfId="2" applyNumberFormat="1" applyFont="1" applyBorder="1" applyAlignment="1">
      <alignment horizontal="center" vertical="center"/>
    </xf>
    <xf numFmtId="1" fontId="15" fillId="0" borderId="11" xfId="2" applyNumberFormat="1" applyBorder="1" applyAlignment="1">
      <alignment horizontal="center"/>
    </xf>
    <xf numFmtId="1" fontId="15" fillId="0" borderId="11" xfId="2" quotePrefix="1" applyNumberFormat="1" applyBorder="1" applyAlignment="1">
      <alignment horizontal="center"/>
    </xf>
    <xf numFmtId="1" fontId="15" fillId="0" borderId="14" xfId="2" applyNumberFormat="1" applyBorder="1" applyAlignment="1">
      <alignment horizontal="center"/>
    </xf>
    <xf numFmtId="1" fontId="6" fillId="0" borderId="1" xfId="0" applyNumberFormat="1" applyFont="1" applyBorder="1" applyAlignment="1">
      <alignment horizontal="center" vertical="center"/>
    </xf>
    <xf numFmtId="1" fontId="17" fillId="0" borderId="1" xfId="0" applyNumberFormat="1" applyFont="1" applyBorder="1" applyAlignment="1">
      <alignment horizontal="center" vertical="center"/>
    </xf>
    <xf numFmtId="1" fontId="6" fillId="0" borderId="5" xfId="0" applyNumberFormat="1" applyFont="1" applyBorder="1" applyAlignment="1">
      <alignment horizontal="center" vertical="center"/>
    </xf>
    <xf numFmtId="165" fontId="10" fillId="12" borderId="1" xfId="0" applyNumberFormat="1" applyFont="1" applyFill="1" applyBorder="1" applyAlignment="1">
      <alignment horizontal="center" vertical="center"/>
    </xf>
    <xf numFmtId="165" fontId="41" fillId="12" borderId="1" xfId="0" applyNumberFormat="1" applyFont="1" applyFill="1" applyBorder="1" applyAlignment="1">
      <alignment horizontal="center" vertical="center"/>
    </xf>
    <xf numFmtId="3" fontId="10" fillId="12" borderId="1" xfId="0" applyNumberFormat="1" applyFont="1" applyFill="1" applyBorder="1" applyAlignment="1">
      <alignment horizontal="center" vertical="center"/>
    </xf>
    <xf numFmtId="3" fontId="41" fillId="12" borderId="1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2" fontId="5" fillId="12" borderId="1" xfId="0" applyNumberFormat="1" applyFont="1" applyFill="1" applyBorder="1" applyAlignment="1">
      <alignment horizontal="right" vertical="center"/>
    </xf>
    <xf numFmtId="1" fontId="3"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3" fontId="17" fillId="0" borderId="11" xfId="0" applyNumberFormat="1" applyFont="1" applyFill="1" applyBorder="1" applyAlignment="1">
      <alignment horizontal="center" vertical="center"/>
    </xf>
    <xf numFmtId="3" fontId="8" fillId="14" borderId="1" xfId="0" applyNumberFormat="1" applyFont="1" applyFill="1" applyBorder="1"/>
    <xf numFmtId="3" fontId="18" fillId="14" borderId="11" xfId="0" applyNumberFormat="1" applyFont="1" applyFill="1" applyBorder="1"/>
    <xf numFmtId="3" fontId="8" fillId="0" borderId="1" xfId="0" applyNumberFormat="1" applyFont="1" applyFill="1" applyBorder="1"/>
    <xf numFmtId="3" fontId="18" fillId="0" borderId="11" xfId="0" applyNumberFormat="1" applyFont="1" applyFill="1" applyBorder="1"/>
    <xf numFmtId="3" fontId="8" fillId="15" borderId="1" xfId="0" applyNumberFormat="1" applyFont="1" applyFill="1" applyBorder="1"/>
    <xf numFmtId="3" fontId="18" fillId="15" borderId="11" xfId="0" applyNumberFormat="1" applyFont="1" applyFill="1" applyBorder="1"/>
    <xf numFmtId="3" fontId="24" fillId="0" borderId="1" xfId="0" applyNumberFormat="1" applyFont="1" applyFill="1" applyBorder="1" applyAlignment="1">
      <alignment horizontal="center"/>
    </xf>
    <xf numFmtId="3" fontId="24" fillId="0" borderId="11" xfId="0" applyNumberFormat="1" applyFont="1" applyFill="1" applyBorder="1" applyAlignment="1">
      <alignment horizontal="center"/>
    </xf>
    <xf numFmtId="3" fontId="0" fillId="0" borderId="1" xfId="0" applyNumberFormat="1" applyFill="1" applyBorder="1" applyAlignment="1">
      <alignment horizontal="center" vertical="center"/>
    </xf>
    <xf numFmtId="3" fontId="18" fillId="0" borderId="11" xfId="0" applyNumberFormat="1" applyFont="1" applyFill="1" applyBorder="1" applyAlignment="1">
      <alignment horizontal="center" vertical="center"/>
    </xf>
    <xf numFmtId="3" fontId="0" fillId="15" borderId="1" xfId="0" applyNumberFormat="1" applyFill="1" applyBorder="1"/>
    <xf numFmtId="3" fontId="6" fillId="0" borderId="13" xfId="0" applyNumberFormat="1" applyFont="1" applyFill="1" applyBorder="1"/>
    <xf numFmtId="3" fontId="17" fillId="0" borderId="14" xfId="0" applyNumberFormat="1" applyFont="1" applyFill="1" applyBorder="1"/>
    <xf numFmtId="1" fontId="6" fillId="12" borderId="13" xfId="0" applyNumberFormat="1" applyFont="1" applyFill="1" applyBorder="1"/>
    <xf numFmtId="0" fontId="42" fillId="0" borderId="0" xfId="0" applyFont="1" applyAlignment="1">
      <alignment wrapText="1"/>
    </xf>
    <xf numFmtId="167" fontId="0" fillId="0" borderId="0" xfId="0" applyNumberFormat="1"/>
    <xf numFmtId="0" fontId="0" fillId="18" borderId="0" xfId="0" applyFill="1"/>
    <xf numFmtId="10" fontId="0" fillId="18" borderId="0" xfId="0" applyNumberFormat="1" applyFill="1"/>
    <xf numFmtId="2" fontId="0" fillId="18" borderId="0" xfId="0" applyNumberFormat="1" applyFill="1"/>
    <xf numFmtId="3" fontId="0" fillId="18" borderId="0" xfId="0" applyNumberFormat="1" applyFill="1"/>
    <xf numFmtId="0" fontId="0" fillId="12" borderId="0" xfId="0" applyFill="1"/>
    <xf numFmtId="10" fontId="0" fillId="12" borderId="0" xfId="0" applyNumberFormat="1" applyFill="1"/>
    <xf numFmtId="2" fontId="0" fillId="12" borderId="0" xfId="0" applyNumberFormat="1" applyFill="1"/>
    <xf numFmtId="3" fontId="0" fillId="12" borderId="0" xfId="0" applyNumberFormat="1" applyFill="1"/>
    <xf numFmtId="0" fontId="0" fillId="6" borderId="0" xfId="0" applyFill="1"/>
    <xf numFmtId="10" fontId="0" fillId="6" borderId="0" xfId="0" applyNumberFormat="1" applyFill="1"/>
    <xf numFmtId="2" fontId="0" fillId="6" borderId="0" xfId="0" applyNumberFormat="1" applyFill="1"/>
    <xf numFmtId="3" fontId="0" fillId="6" borderId="0" xfId="0" applyNumberFormat="1" applyFill="1"/>
    <xf numFmtId="0" fontId="0" fillId="7" borderId="0" xfId="0" applyFill="1"/>
    <xf numFmtId="10" fontId="0" fillId="7" borderId="0" xfId="0" applyNumberFormat="1" applyFill="1"/>
    <xf numFmtId="2" fontId="0" fillId="7" borderId="0" xfId="0" applyNumberFormat="1" applyFill="1"/>
    <xf numFmtId="3" fontId="0" fillId="7" borderId="0" xfId="0" applyNumberFormat="1" applyFill="1"/>
    <xf numFmtId="0" fontId="0" fillId="8" borderId="0" xfId="0" applyFill="1"/>
    <xf numFmtId="10" fontId="0" fillId="8" borderId="0" xfId="0" applyNumberFormat="1" applyFill="1"/>
    <xf numFmtId="2" fontId="0" fillId="8" borderId="0" xfId="0" applyNumberFormat="1" applyFill="1"/>
    <xf numFmtId="3" fontId="0" fillId="8" borderId="0" xfId="0" applyNumberFormat="1" applyFill="1"/>
    <xf numFmtId="0" fontId="0" fillId="10" borderId="0" xfId="0" applyFill="1"/>
    <xf numFmtId="10" fontId="0" fillId="10" borderId="0" xfId="0" applyNumberFormat="1" applyFill="1"/>
    <xf numFmtId="2" fontId="0" fillId="10" borderId="0" xfId="0" applyNumberFormat="1" applyFill="1"/>
    <xf numFmtId="3" fontId="0" fillId="10" borderId="0" xfId="0" applyNumberFormat="1" applyFill="1"/>
    <xf numFmtId="0" fontId="0" fillId="9" borderId="0" xfId="0" applyFill="1"/>
    <xf numFmtId="10" fontId="0" fillId="9" borderId="0" xfId="0" applyNumberFormat="1" applyFill="1"/>
    <xf numFmtId="2" fontId="0" fillId="9" borderId="0" xfId="0" applyNumberFormat="1" applyFill="1"/>
    <xf numFmtId="3" fontId="0" fillId="9" borderId="0" xfId="0" applyNumberFormat="1" applyFill="1"/>
    <xf numFmtId="0" fontId="0" fillId="11" borderId="0" xfId="0" applyFill="1"/>
    <xf numFmtId="10" fontId="0" fillId="11" borderId="0" xfId="0" applyNumberFormat="1" applyFill="1"/>
    <xf numFmtId="2" fontId="0" fillId="11" borderId="0" xfId="0" applyNumberFormat="1" applyFill="1"/>
    <xf numFmtId="3" fontId="0" fillId="11" borderId="0" xfId="0" applyNumberFormat="1" applyFill="1"/>
    <xf numFmtId="0" fontId="0" fillId="5" borderId="0" xfId="0" applyFill="1"/>
    <xf numFmtId="10" fontId="0" fillId="5" borderId="0" xfId="0" applyNumberFormat="1" applyFill="1"/>
    <xf numFmtId="2" fontId="0" fillId="5" borderId="0" xfId="0" applyNumberFormat="1" applyFill="1"/>
    <xf numFmtId="3" fontId="0" fillId="5" borderId="0" xfId="0" applyNumberFormat="1" applyFill="1"/>
    <xf numFmtId="0" fontId="0" fillId="19" borderId="0" xfId="0" applyFill="1"/>
    <xf numFmtId="10" fontId="0" fillId="19" borderId="0" xfId="0" applyNumberFormat="1" applyFill="1"/>
    <xf numFmtId="2" fontId="0" fillId="19" borderId="0" xfId="0" applyNumberFormat="1" applyFill="1"/>
    <xf numFmtId="3" fontId="0" fillId="19" borderId="0" xfId="0" applyNumberFormat="1" applyFill="1"/>
    <xf numFmtId="0" fontId="0" fillId="20" borderId="0" xfId="0" applyFill="1"/>
    <xf numFmtId="10" fontId="0" fillId="20" borderId="0" xfId="0" applyNumberFormat="1" applyFill="1"/>
    <xf numFmtId="2" fontId="0" fillId="20" borderId="0" xfId="0" applyNumberFormat="1" applyFill="1"/>
    <xf numFmtId="3" fontId="0" fillId="20" borderId="0" xfId="0" applyNumberFormat="1" applyFill="1"/>
    <xf numFmtId="0" fontId="7" fillId="0" borderId="0" xfId="0" applyFont="1"/>
    <xf numFmtId="3" fontId="7" fillId="0" borderId="0" xfId="0" applyNumberFormat="1" applyFont="1"/>
    <xf numFmtId="0" fontId="1" fillId="0" borderId="0" xfId="9"/>
    <xf numFmtId="0" fontId="6" fillId="0" borderId="37" xfId="9" applyFont="1" applyBorder="1" applyAlignment="1">
      <alignment horizontal="center" vertical="center"/>
    </xf>
    <xf numFmtId="0" fontId="6" fillId="21" borderId="22" xfId="9" applyFont="1" applyFill="1" applyBorder="1" applyAlignment="1">
      <alignment horizontal="center" vertical="center"/>
    </xf>
    <xf numFmtId="0" fontId="43" fillId="0" borderId="23" xfId="9" applyFont="1" applyBorder="1" applyAlignment="1">
      <alignment horizontal="center" vertical="center"/>
    </xf>
    <xf numFmtId="0" fontId="43" fillId="0" borderId="37" xfId="9" applyFont="1" applyBorder="1" applyAlignment="1">
      <alignment horizontal="center" vertical="center"/>
    </xf>
    <xf numFmtId="0" fontId="1" fillId="0" borderId="0" xfId="9" applyAlignment="1">
      <alignment vertical="center"/>
    </xf>
    <xf numFmtId="0" fontId="44" fillId="22" borderId="38" xfId="5" applyFont="1" applyFill="1" applyBorder="1" applyAlignment="1">
      <alignment horizontal="center" vertical="center" wrapText="1"/>
    </xf>
    <xf numFmtId="0" fontId="45" fillId="22" borderId="38" xfId="5" applyFont="1" applyFill="1" applyBorder="1" applyAlignment="1">
      <alignment horizontal="left" vertical="center" wrapText="1"/>
    </xf>
    <xf numFmtId="0" fontId="44" fillId="22" borderId="39" xfId="5" applyFont="1" applyFill="1" applyBorder="1" applyAlignment="1">
      <alignment horizontal="center" vertical="center" wrapText="1"/>
    </xf>
    <xf numFmtId="0" fontId="45" fillId="22" borderId="39" xfId="5" applyFont="1" applyFill="1" applyBorder="1" applyAlignment="1">
      <alignment horizontal="left" vertical="center" wrapText="1"/>
    </xf>
    <xf numFmtId="0" fontId="46" fillId="22" borderId="39" xfId="5" applyFont="1" applyFill="1" applyBorder="1" applyAlignment="1">
      <alignment horizontal="left" vertical="center" wrapText="1"/>
    </xf>
    <xf numFmtId="0" fontId="45" fillId="22" borderId="40" xfId="5" applyFont="1" applyFill="1" applyBorder="1" applyAlignment="1">
      <alignment horizontal="left" vertical="center" wrapText="1"/>
    </xf>
    <xf numFmtId="0" fontId="45" fillId="22" borderId="41" xfId="5" applyFont="1" applyFill="1" applyBorder="1" applyAlignment="1">
      <alignment horizontal="left" vertical="center" wrapText="1"/>
    </xf>
    <xf numFmtId="0" fontId="45" fillId="22" borderId="42" xfId="5" applyFont="1" applyFill="1" applyBorder="1" applyAlignment="1">
      <alignment horizontal="left" vertical="center" wrapText="1"/>
    </xf>
    <xf numFmtId="0" fontId="45" fillId="22" borderId="43" xfId="5" applyFont="1" applyFill="1" applyBorder="1" applyAlignment="1">
      <alignment horizontal="left" vertical="center" wrapText="1"/>
    </xf>
    <xf numFmtId="0" fontId="45" fillId="22" borderId="44" xfId="5" applyFont="1" applyFill="1" applyBorder="1" applyAlignment="1">
      <alignment horizontal="left" vertical="center" wrapText="1"/>
    </xf>
    <xf numFmtId="0" fontId="46" fillId="22" borderId="44" xfId="5" applyFont="1" applyFill="1" applyBorder="1" applyAlignment="1">
      <alignment horizontal="left" vertical="center" wrapText="1"/>
    </xf>
    <xf numFmtId="0" fontId="46" fillId="22" borderId="43" xfId="5" applyFont="1" applyFill="1" applyBorder="1" applyAlignment="1">
      <alignment horizontal="left" vertical="center" wrapText="1"/>
    </xf>
    <xf numFmtId="0" fontId="44" fillId="22" borderId="40" xfId="5" applyFont="1" applyFill="1" applyBorder="1" applyAlignment="1">
      <alignment horizontal="center" vertical="center" wrapText="1"/>
    </xf>
    <xf numFmtId="0" fontId="45" fillId="22" borderId="45" xfId="5" applyFont="1" applyFill="1" applyBorder="1" applyAlignment="1">
      <alignment horizontal="left" vertical="center" wrapText="1"/>
    </xf>
    <xf numFmtId="0" fontId="45" fillId="22" borderId="46" xfId="5" applyFont="1" applyFill="1" applyBorder="1" applyAlignment="1">
      <alignment horizontal="left" vertical="center" wrapText="1"/>
    </xf>
    <xf numFmtId="0" fontId="46" fillId="22" borderId="46" xfId="5" applyFont="1" applyFill="1" applyBorder="1" applyAlignment="1">
      <alignment horizontal="left" vertical="center" wrapText="1"/>
    </xf>
    <xf numFmtId="0" fontId="46" fillId="22" borderId="42" xfId="5" applyFont="1" applyFill="1" applyBorder="1" applyAlignment="1">
      <alignment horizontal="left" vertical="center" wrapText="1"/>
    </xf>
    <xf numFmtId="0" fontId="44" fillId="22" borderId="48" xfId="5" applyFont="1" applyFill="1" applyBorder="1" applyAlignment="1">
      <alignment horizontal="center" vertical="center" wrapText="1"/>
    </xf>
    <xf numFmtId="0" fontId="45" fillId="22" borderId="49" xfId="5" applyFont="1" applyFill="1" applyBorder="1" applyAlignment="1">
      <alignment horizontal="left" vertical="center" wrapText="1"/>
    </xf>
    <xf numFmtId="0" fontId="45" fillId="22" borderId="50" xfId="5" applyFont="1" applyFill="1" applyBorder="1" applyAlignment="1">
      <alignment horizontal="left" vertical="center" wrapText="1"/>
    </xf>
    <xf numFmtId="0" fontId="46" fillId="22" borderId="50" xfId="5" applyFont="1" applyFill="1" applyBorder="1" applyAlignment="1">
      <alignment horizontal="left" vertical="center" wrapText="1"/>
    </xf>
    <xf numFmtId="0" fontId="47" fillId="22" borderId="46" xfId="5" applyFont="1" applyFill="1" applyBorder="1" applyAlignment="1">
      <alignment horizontal="left" vertical="center" wrapText="1"/>
    </xf>
    <xf numFmtId="0" fontId="44" fillId="22" borderId="51" xfId="5" applyFont="1" applyFill="1" applyBorder="1" applyAlignment="1">
      <alignment horizontal="center" vertical="center" wrapText="1"/>
    </xf>
    <xf numFmtId="0" fontId="44" fillId="22" borderId="23" xfId="5" applyFont="1" applyFill="1" applyBorder="1" applyAlignment="1">
      <alignment horizontal="center" vertical="center" wrapText="1"/>
    </xf>
    <xf numFmtId="0" fontId="46" fillId="22" borderId="23" xfId="5" applyFont="1" applyFill="1" applyBorder="1" applyAlignment="1">
      <alignment horizontal="left" vertical="center" wrapText="1"/>
    </xf>
    <xf numFmtId="0" fontId="46" fillId="22" borderId="37" xfId="5" applyFont="1" applyFill="1" applyBorder="1" applyAlignment="1">
      <alignment horizontal="left" vertical="center" wrapText="1"/>
    </xf>
    <xf numFmtId="0" fontId="44" fillId="22" borderId="53" xfId="5" applyFont="1" applyFill="1" applyBorder="1" applyAlignment="1">
      <alignment horizontal="center" vertical="center" wrapText="1"/>
    </xf>
    <xf numFmtId="0" fontId="45" fillId="22" borderId="36" xfId="5" applyFont="1" applyFill="1" applyBorder="1" applyAlignment="1">
      <alignment horizontal="left" vertical="center" wrapText="1"/>
    </xf>
    <xf numFmtId="0" fontId="45" fillId="22" borderId="53" xfId="5" applyFont="1" applyFill="1" applyBorder="1" applyAlignment="1">
      <alignment horizontal="left" vertical="center" wrapText="1"/>
    </xf>
    <xf numFmtId="0" fontId="45" fillId="22" borderId="55" xfId="5" applyFont="1" applyFill="1" applyBorder="1" applyAlignment="1">
      <alignment horizontal="left" vertical="center" wrapText="1"/>
    </xf>
    <xf numFmtId="0" fontId="46" fillId="22" borderId="55" xfId="5" applyFont="1" applyFill="1" applyBorder="1" applyAlignment="1">
      <alignment horizontal="left" vertical="center" wrapText="1"/>
    </xf>
    <xf numFmtId="0" fontId="46" fillId="22" borderId="36" xfId="5" applyFont="1" applyFill="1" applyBorder="1" applyAlignment="1">
      <alignment horizontal="left" vertical="center" wrapText="1"/>
    </xf>
    <xf numFmtId="0" fontId="46" fillId="22" borderId="56" xfId="5" applyFont="1" applyFill="1" applyBorder="1" applyAlignment="1">
      <alignment horizontal="left" vertical="center" wrapText="1"/>
    </xf>
    <xf numFmtId="0" fontId="44" fillId="22" borderId="31" xfId="5" applyFont="1" applyFill="1" applyBorder="1" applyAlignment="1">
      <alignment horizontal="center" vertical="center" wrapText="1"/>
    </xf>
    <xf numFmtId="0" fontId="46" fillId="22" borderId="41" xfId="5" applyFont="1" applyFill="1" applyBorder="1" applyAlignment="1">
      <alignment horizontal="left" vertical="center" wrapText="1"/>
    </xf>
    <xf numFmtId="0" fontId="46" fillId="22" borderId="49" xfId="5" applyFont="1" applyFill="1" applyBorder="1" applyAlignment="1">
      <alignment horizontal="left" vertical="center" wrapText="1"/>
    </xf>
    <xf numFmtId="0" fontId="44" fillId="22" borderId="57" xfId="5" applyFont="1" applyFill="1" applyBorder="1" applyAlignment="1">
      <alignment horizontal="center" vertical="center" wrapText="1"/>
    </xf>
    <xf numFmtId="0" fontId="46" fillId="22" borderId="58" xfId="5" applyFont="1" applyFill="1" applyBorder="1" applyAlignment="1">
      <alignment horizontal="left" vertical="center" wrapText="1"/>
    </xf>
    <xf numFmtId="0" fontId="46" fillId="22" borderId="40" xfId="5" applyFont="1" applyFill="1" applyBorder="1" applyAlignment="1">
      <alignment horizontal="left" vertical="center" wrapText="1"/>
    </xf>
    <xf numFmtId="0" fontId="44" fillId="22" borderId="36" xfId="5" applyFont="1" applyFill="1" applyBorder="1" applyAlignment="1">
      <alignment horizontal="center" vertical="center" wrapText="1"/>
    </xf>
    <xf numFmtId="0" fontId="44" fillId="22" borderId="28" xfId="5" applyFont="1" applyFill="1" applyBorder="1" applyAlignment="1">
      <alignment horizontal="center" vertical="center" wrapText="1"/>
    </xf>
    <xf numFmtId="0" fontId="46" fillId="22" borderId="45" xfId="5" applyFont="1" applyFill="1" applyBorder="1" applyAlignment="1">
      <alignment horizontal="left" vertical="center" wrapText="1"/>
    </xf>
    <xf numFmtId="0" fontId="46" fillId="22" borderId="59" xfId="5" applyFont="1" applyFill="1" applyBorder="1" applyAlignment="1">
      <alignment horizontal="left" vertical="center" wrapText="1"/>
    </xf>
    <xf numFmtId="0" fontId="46" fillId="22" borderId="38" xfId="5" applyFont="1" applyFill="1" applyBorder="1" applyAlignment="1">
      <alignment horizontal="left" vertical="center" wrapText="1"/>
    </xf>
    <xf numFmtId="0" fontId="46" fillId="22" borderId="60" xfId="5" applyFont="1" applyFill="1" applyBorder="1" applyAlignment="1">
      <alignment horizontal="left" vertical="center" wrapText="1"/>
    </xf>
    <xf numFmtId="0" fontId="45" fillId="22" borderId="60" xfId="5" applyFont="1" applyFill="1" applyBorder="1" applyAlignment="1">
      <alignment horizontal="left" vertical="center" wrapText="1"/>
    </xf>
    <xf numFmtId="0" fontId="47" fillId="22" borderId="50" xfId="5" applyFont="1" applyFill="1" applyBorder="1" applyAlignment="1">
      <alignment horizontal="left" vertical="center" wrapText="1"/>
    </xf>
    <xf numFmtId="0" fontId="46" fillId="22" borderId="53" xfId="5" quotePrefix="1" applyFont="1" applyFill="1" applyBorder="1" applyAlignment="1">
      <alignment horizontal="left" vertical="center" wrapText="1"/>
    </xf>
    <xf numFmtId="0" fontId="46" fillId="22" borderId="53" xfId="5" applyFont="1" applyFill="1" applyBorder="1" applyAlignment="1">
      <alignment horizontal="left" vertical="center" wrapText="1"/>
    </xf>
    <xf numFmtId="0" fontId="6" fillId="21" borderId="37" xfId="9" applyFont="1" applyFill="1" applyBorder="1" applyAlignment="1">
      <alignment horizontal="center" vertical="center"/>
    </xf>
    <xf numFmtId="0" fontId="6" fillId="15" borderId="22" xfId="9" applyFont="1" applyFill="1" applyBorder="1" applyAlignment="1">
      <alignment horizontal="center" vertical="center"/>
    </xf>
    <xf numFmtId="0" fontId="48" fillId="22" borderId="40" xfId="5" applyFont="1" applyFill="1" applyBorder="1" applyAlignment="1">
      <alignment horizontal="center" vertical="center" wrapText="1"/>
    </xf>
    <xf numFmtId="0" fontId="44" fillId="22" borderId="42" xfId="5" applyFont="1" applyFill="1" applyBorder="1" applyAlignment="1">
      <alignment horizontal="center" vertical="center" wrapText="1"/>
    </xf>
    <xf numFmtId="0" fontId="48" fillId="22" borderId="46" xfId="5" applyFont="1" applyFill="1" applyBorder="1" applyAlignment="1">
      <alignment horizontal="center" vertical="center" wrapText="1"/>
    </xf>
    <xf numFmtId="0" fontId="48" fillId="22" borderId="39" xfId="5" applyFont="1" applyFill="1" applyBorder="1" applyAlignment="1">
      <alignment horizontal="center" vertical="center" wrapText="1"/>
    </xf>
    <xf numFmtId="0" fontId="46" fillId="22" borderId="62" xfId="5" applyFont="1" applyFill="1" applyBorder="1" applyAlignment="1">
      <alignment horizontal="left" vertical="center" wrapText="1"/>
    </xf>
    <xf numFmtId="0" fontId="48" fillId="22" borderId="57" xfId="5" applyFont="1" applyFill="1" applyBorder="1" applyAlignment="1">
      <alignment horizontal="center" vertical="center" wrapText="1"/>
    </xf>
    <xf numFmtId="0" fontId="46" fillId="22" borderId="54" xfId="5" applyFont="1" applyFill="1" applyBorder="1" applyAlignment="1">
      <alignment horizontal="left" vertical="center" wrapText="1"/>
    </xf>
    <xf numFmtId="0" fontId="3"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5" fillId="15" borderId="23" xfId="2" applyFill="1" applyBorder="1" applyAlignment="1">
      <alignment horizontal="center" wrapText="1"/>
    </xf>
    <xf numFmtId="0" fontId="15" fillId="15" borderId="24" xfId="2" applyFill="1" applyBorder="1" applyAlignment="1">
      <alignment horizontal="center" wrapText="1"/>
    </xf>
    <xf numFmtId="0" fontId="15" fillId="15" borderId="22" xfId="2" applyFill="1" applyBorder="1" applyAlignment="1">
      <alignment horizontal="center" wrapText="1"/>
    </xf>
    <xf numFmtId="0" fontId="6" fillId="0" borderId="31" xfId="2" applyFont="1" applyBorder="1" applyAlignment="1">
      <alignment horizontal="center" wrapText="1"/>
    </xf>
    <xf numFmtId="0" fontId="6" fillId="0" borderId="32" xfId="2" applyFont="1" applyBorder="1" applyAlignment="1">
      <alignment horizontal="center" wrapText="1"/>
    </xf>
    <xf numFmtId="0" fontId="6" fillId="0" borderId="33" xfId="2" applyFont="1" applyBorder="1" applyAlignment="1">
      <alignment horizontal="center" wrapText="1"/>
    </xf>
    <xf numFmtId="0" fontId="15" fillId="0" borderId="32" xfId="2"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6" fillId="0" borderId="1" xfId="0" applyFont="1" applyBorder="1" applyAlignment="1">
      <alignment horizontal="center" vertical="center" wrapText="1"/>
    </xf>
    <xf numFmtId="2"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28" fillId="0" borderId="1" xfId="2" applyFont="1" applyBorder="1" applyAlignment="1">
      <alignment horizontal="center" vertical="center" wrapText="1"/>
    </xf>
    <xf numFmtId="0" fontId="15" fillId="0" borderId="1" xfId="2" applyBorder="1" applyAlignment="1">
      <alignment horizontal="left"/>
    </xf>
    <xf numFmtId="0" fontId="28" fillId="0" borderId="1"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 xfId="0" applyFont="1" applyBorder="1" applyAlignment="1">
      <alignment horizontal="center" vertical="center" wrapText="1"/>
    </xf>
    <xf numFmtId="168"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169" fontId="29" fillId="3" borderId="18" xfId="0" applyNumberFormat="1" applyFont="1" applyFill="1" applyBorder="1" applyAlignment="1">
      <alignment horizontal="center" vertical="center"/>
    </xf>
    <xf numFmtId="169" fontId="29" fillId="3" borderId="2" xfId="0" applyNumberFormat="1" applyFont="1" applyFill="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1" fillId="16" borderId="1" xfId="0" applyFont="1" applyFill="1" applyBorder="1" applyAlignment="1">
      <alignment horizontal="center" vertical="center"/>
    </xf>
    <xf numFmtId="0" fontId="31" fillId="16" borderId="1" xfId="0" applyFont="1" applyFill="1" applyBorder="1" applyAlignment="1">
      <alignment horizontal="center" vertical="center" wrapText="1"/>
    </xf>
    <xf numFmtId="0" fontId="44" fillId="22" borderId="7" xfId="5" applyFont="1" applyFill="1" applyBorder="1" applyAlignment="1">
      <alignment horizontal="center" vertical="center" wrapText="1"/>
    </xf>
    <xf numFmtId="0" fontId="44" fillId="22" borderId="52" xfId="5" applyFont="1" applyFill="1" applyBorder="1" applyAlignment="1">
      <alignment horizontal="center" vertical="center" wrapText="1"/>
    </xf>
    <xf numFmtId="0" fontId="44" fillId="22" borderId="12" xfId="5" applyFont="1" applyFill="1" applyBorder="1" applyAlignment="1">
      <alignment horizontal="center" vertical="center" wrapText="1"/>
    </xf>
    <xf numFmtId="0" fontId="44" fillId="22" borderId="10" xfId="5" applyFont="1" applyFill="1" applyBorder="1" applyAlignment="1">
      <alignment horizontal="center" vertical="center" wrapText="1"/>
    </xf>
    <xf numFmtId="0" fontId="44" fillId="22" borderId="54" xfId="5" applyFont="1" applyFill="1" applyBorder="1" applyAlignment="1">
      <alignment horizontal="center" vertical="center" wrapText="1"/>
    </xf>
    <xf numFmtId="0" fontId="44" fillId="22" borderId="53" xfId="5" applyFont="1" applyFill="1" applyBorder="1" applyAlignment="1">
      <alignment horizontal="center" vertical="center" wrapText="1"/>
    </xf>
    <xf numFmtId="0" fontId="44" fillId="22" borderId="26" xfId="5" applyFont="1" applyFill="1" applyBorder="1" applyAlignment="1">
      <alignment horizontal="center" vertical="center" wrapText="1"/>
    </xf>
    <xf numFmtId="0" fontId="44" fillId="22" borderId="47" xfId="5" applyFont="1" applyFill="1" applyBorder="1" applyAlignment="1">
      <alignment horizontal="center" vertical="center" wrapText="1"/>
    </xf>
    <xf numFmtId="0" fontId="45" fillId="22" borderId="54" xfId="5" applyFont="1" applyFill="1" applyBorder="1" applyAlignment="1">
      <alignment horizontal="left" vertical="center" wrapText="1"/>
    </xf>
    <xf numFmtId="0" fontId="45" fillId="22" borderId="56" xfId="5" applyFont="1" applyFill="1" applyBorder="1" applyAlignment="1">
      <alignment horizontal="left" vertical="center" wrapText="1"/>
    </xf>
    <xf numFmtId="0" fontId="46" fillId="22" borderId="54" xfId="5" applyFont="1" applyFill="1" applyBorder="1" applyAlignment="1">
      <alignment horizontal="left" vertical="center" wrapText="1"/>
    </xf>
    <xf numFmtId="0" fontId="46" fillId="22" borderId="56" xfId="5" applyFont="1" applyFill="1" applyBorder="1" applyAlignment="1">
      <alignment horizontal="left" vertical="center" wrapText="1"/>
    </xf>
    <xf numFmtId="0" fontId="46" fillId="22" borderId="55" xfId="5" applyFont="1" applyFill="1" applyBorder="1" applyAlignment="1">
      <alignment horizontal="left" vertical="center" wrapText="1"/>
    </xf>
    <xf numFmtId="0" fontId="45" fillId="22" borderId="55" xfId="5" applyFont="1" applyFill="1" applyBorder="1" applyAlignment="1">
      <alignment horizontal="left" vertical="center" wrapText="1"/>
    </xf>
    <xf numFmtId="0" fontId="46" fillId="22" borderId="50" xfId="5" applyFont="1" applyFill="1" applyBorder="1" applyAlignment="1">
      <alignment horizontal="left" vertical="center" wrapText="1"/>
    </xf>
    <xf numFmtId="0" fontId="44" fillId="22" borderId="56" xfId="5" applyFont="1" applyFill="1" applyBorder="1" applyAlignment="1">
      <alignment horizontal="center" vertical="center" wrapText="1"/>
    </xf>
    <xf numFmtId="0" fontId="46" fillId="22" borderId="53" xfId="5" applyFont="1" applyFill="1" applyBorder="1" applyAlignment="1">
      <alignment horizontal="left" vertical="center" wrapText="1"/>
    </xf>
    <xf numFmtId="0" fontId="45" fillId="22" borderId="53" xfId="5" applyFont="1" applyFill="1" applyBorder="1" applyAlignment="1">
      <alignment horizontal="left" vertical="center" wrapText="1"/>
    </xf>
    <xf numFmtId="0" fontId="45" fillId="22" borderId="61" xfId="5" applyFont="1" applyFill="1" applyBorder="1" applyAlignment="1">
      <alignment horizontal="left" vertical="center" wrapText="1"/>
    </xf>
    <xf numFmtId="0" fontId="46" fillId="22" borderId="61" xfId="5" applyFont="1" applyFill="1" applyBorder="1" applyAlignment="1">
      <alignment horizontal="left" vertical="center" wrapText="1"/>
    </xf>
    <xf numFmtId="0" fontId="44" fillId="22" borderId="54" xfId="5" applyFont="1" applyFill="1" applyBorder="1" applyAlignment="1">
      <alignment horizontal="left" vertical="center" wrapText="1"/>
    </xf>
    <xf numFmtId="0" fontId="44" fillId="22" borderId="53" xfId="5" applyFont="1" applyFill="1" applyBorder="1" applyAlignment="1">
      <alignment horizontal="left" vertical="center" wrapText="1"/>
    </xf>
    <xf numFmtId="0" fontId="44" fillId="22" borderId="56" xfId="5" applyFont="1" applyFill="1" applyBorder="1" applyAlignment="1">
      <alignment horizontal="left" vertical="center" wrapText="1"/>
    </xf>
  </cellXfs>
  <cellStyles count="10">
    <cellStyle name="Milliers 2" xfId="6"/>
    <cellStyle name="Milliers 3" xfId="7"/>
    <cellStyle name="Normal" xfId="0" builtinId="0"/>
    <cellStyle name="Normal 2" xfId="2"/>
    <cellStyle name="Normal 2 2" xfId="5"/>
    <cellStyle name="Normal 3" xfId="8"/>
    <cellStyle name="Normal 4" xfId="9"/>
    <cellStyle name="Pourcentage" xfId="1" builtinId="5"/>
    <cellStyle name="Pourcentage 2" xfId="3"/>
    <cellStyle name="Pourcentage 3" xfId="4"/>
  </cellStyles>
  <dxfs count="133">
    <dxf>
      <numFmt numFmtId="14" formatCode="0.00%"/>
    </dxf>
    <dxf>
      <numFmt numFmtId="14" formatCode="0.00%"/>
    </dxf>
    <dxf>
      <numFmt numFmtId="3" formatCode="#,##0"/>
    </dxf>
    <dxf>
      <numFmt numFmtId="3" formatCode="#,##0"/>
    </dxf>
    <dxf>
      <numFmt numFmtId="3" formatCode="#,##0"/>
    </dxf>
    <dxf>
      <numFmt numFmtId="3" formatCode="#,##0"/>
    </dxf>
    <dxf>
      <numFmt numFmtId="3" formatCode="#,##0"/>
    </dxf>
    <dxf>
      <numFmt numFmtId="2" formatCode="0.00"/>
    </dxf>
    <dxf>
      <numFmt numFmtId="2" formatCode="0.00"/>
    </dxf>
    <dxf>
      <numFmt numFmtId="2" formatCode="0.00"/>
    </dxf>
    <dxf>
      <numFmt numFmtId="3" formatCode="#,##0"/>
    </dxf>
    <dxf>
      <numFmt numFmtId="3" formatCode="#,##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3" formatCode="#,##0"/>
    </dxf>
    <dxf>
      <numFmt numFmtId="3" formatCode="#,##0"/>
    </dxf>
    <dxf>
      <numFmt numFmtId="2" formatCode="0.00"/>
    </dxf>
    <dxf>
      <numFmt numFmtId="14" formatCode="0.00%"/>
    </dxf>
    <dxf>
      <numFmt numFmtId="14" formatCode="0.00%"/>
    </dxf>
    <dxf>
      <numFmt numFmtId="3" formatCode="#,##0"/>
    </dxf>
    <dxf>
      <numFmt numFmtId="3" formatCode="#,##0"/>
    </dxf>
    <dxf>
      <numFmt numFmtId="167" formatCode="0.000"/>
    </dxf>
    <dxf>
      <numFmt numFmtId="167" formatCode="0.000"/>
    </dxf>
    <dxf>
      <numFmt numFmtId="14" formatCode="0.00%"/>
    </dxf>
    <dxf>
      <numFmt numFmtId="14" formatCode="0.00%"/>
    </dxf>
    <dxf>
      <numFmt numFmtId="167" formatCode="0.000"/>
    </dxf>
    <dxf>
      <numFmt numFmtId="165" formatCode="0.0"/>
    </dxf>
    <dxf>
      <font>
        <b/>
        <i val="0"/>
        <strike val="0"/>
        <condense val="0"/>
        <extend val="0"/>
        <outline val="0"/>
        <shadow val="0"/>
        <u val="none"/>
        <vertAlign val="baseline"/>
        <sz val="11"/>
        <color theme="1"/>
        <name val="Calibri"/>
        <scheme val="minor"/>
      </font>
      <alignment horizontal="center" vertical="top"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style="thin">
          <color indexed="64"/>
        </left>
        <right/>
        <top style="thin">
          <color indexed="64"/>
        </top>
        <bottom/>
      </border>
    </dxf>
    <dxf>
      <font>
        <strike val="0"/>
        <outline val="0"/>
        <shadow val="0"/>
        <u val="none"/>
        <vertAlign val="baseline"/>
        <sz val="11"/>
        <color auto="1"/>
        <name val="Calibri"/>
        <scheme val="minor"/>
      </font>
      <numFmt numFmtId="4" formatCode="#,##0.00"/>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0"/>
        <color auto="1"/>
        <name val="Arial"/>
        <scheme val="none"/>
      </font>
      <numFmt numFmtId="166" formatCode="0.0000"/>
    </dxf>
    <dxf>
      <alignment horizontal="center" vertical="center" textRotation="0" wrapText="0" indent="0" justifyLastLine="0" shrinkToFit="0" readingOrder="0"/>
      <border outline="0">
        <right style="thin">
          <color auto="1"/>
        </right>
      </border>
    </dxf>
    <dxf>
      <font>
        <b val="0"/>
        <i val="0"/>
        <strike val="0"/>
        <condense val="0"/>
        <extend val="0"/>
        <outline val="0"/>
        <shadow val="0"/>
        <u val="none"/>
        <vertAlign val="baseline"/>
        <sz val="11"/>
        <color auto="1"/>
        <name val="Calibri"/>
        <scheme val="minor"/>
      </font>
      <numFmt numFmtId="4" formatCode="#,##0.00"/>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ont>
        <i/>
        <strike val="0"/>
        <outline val="0"/>
        <shadow val="0"/>
        <u val="none"/>
        <vertAlign val="baseline"/>
        <sz val="10"/>
        <color auto="1"/>
        <name val="Calibri"/>
        <scheme val="minor"/>
      </font>
      <numFmt numFmtId="2" formatCode="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170" formatCode="#,##0.0000"/>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Calibri"/>
        <scheme val="minor"/>
      </font>
      <numFmt numFmtId="2" formatCode="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style="thin">
          <color auto="1"/>
        </left>
        <right style="thin">
          <color auto="1"/>
        </right>
        <top style="thin">
          <color auto="1"/>
        </top>
        <bottom/>
      </border>
    </dxf>
    <dxf>
      <font>
        <strike val="0"/>
        <outline val="0"/>
        <shadow val="0"/>
        <u val="none"/>
        <vertAlign val="baseline"/>
        <sz val="11"/>
        <color auto="1"/>
        <name val="Calibri"/>
        <scheme val="minor"/>
      </font>
      <numFmt numFmtId="2" formatCode="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style="thin">
          <color auto="1"/>
        </left>
        <right style="thin">
          <color auto="1"/>
        </right>
        <top style="thin">
          <color auto="1"/>
        </top>
        <bottom/>
      </border>
    </dxf>
    <dxf>
      <font>
        <strike val="0"/>
        <outline val="0"/>
        <shadow val="0"/>
        <u val="none"/>
        <vertAlign val="baseline"/>
        <sz val="11"/>
        <color auto="1"/>
        <name val="Calibri"/>
        <scheme val="minor"/>
      </font>
      <numFmt numFmtId="2" formatCode="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right style="thin">
          <color indexed="64"/>
        </right>
        <top style="thin">
          <color indexed="64"/>
        </top>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font>
        <strike val="0"/>
        <outline val="0"/>
        <shadow val="0"/>
        <u val="none"/>
        <vertAlign val="baseline"/>
        <sz val="11"/>
        <color auto="1"/>
        <name val="Calibri"/>
        <scheme val="minor"/>
      </font>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dxf>
    <dxf>
      <border>
        <bottom style="thin">
          <color auto="1"/>
        </bottom>
      </border>
    </dxf>
    <dxf>
      <font>
        <strike val="0"/>
        <outline val="0"/>
        <shadow val="0"/>
        <u val="none"/>
        <vertAlign val="baseline"/>
        <sz val="11"/>
        <color auto="1"/>
        <name val="Calibri"/>
        <scheme val="minor"/>
      </font>
      <border diagonalUp="0" diagonalDown="0">
        <left style="thin">
          <color auto="1"/>
        </left>
        <right style="thin">
          <color auto="1"/>
        </right>
        <top/>
        <bottom/>
        <vertical style="thin">
          <color auto="1"/>
        </vertical>
        <horizontal style="thin">
          <color auto="1"/>
        </horizontal>
      </border>
    </dxf>
    <dxf>
      <numFmt numFmtId="3" formatCode="#,##0"/>
    </dxf>
    <dxf>
      <numFmt numFmtId="16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Calibri"/>
        <scheme val="none"/>
      </font>
    </dxf>
    <dxf>
      <border>
        <bottom style="thin">
          <color auto="1"/>
        </bottom>
      </border>
    </dxf>
    <dxf>
      <font>
        <strike val="0"/>
        <outline val="0"/>
        <shadow val="0"/>
        <u val="none"/>
        <vertAlign val="baseline"/>
        <sz val="11"/>
        <color auto="1"/>
        <name val="Calibri"/>
        <scheme val="minor"/>
      </font>
      <alignmen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scheme val="minor"/>
      </font>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scheme val="minor"/>
      </font>
      <numFmt numFmtId="3" formatCode="#,##0"/>
      <alignment horizontal="center" vertical="center" textRotation="0" wrapText="0" indent="0" justifyLastLine="0" shrinkToFit="0" readingOrder="0"/>
      <border diagonalUp="0" diagonalDown="0">
        <left style="thin">
          <color indexed="64"/>
        </left>
        <right/>
        <top style="thin">
          <color auto="1"/>
        </top>
        <bottom style="thin">
          <color auto="1"/>
        </bottom>
        <horizontal style="thin">
          <color auto="1"/>
        </horizontal>
      </border>
    </dxf>
    <dxf>
      <font>
        <b val="0"/>
        <i val="0"/>
        <strike val="0"/>
        <condense val="0"/>
        <extend val="0"/>
        <outline val="0"/>
        <shadow val="0"/>
        <u val="none"/>
        <vertAlign val="baseline"/>
        <sz val="11"/>
        <color auto="1"/>
        <name val="Calibri"/>
        <scheme val="minor"/>
      </font>
      <numFmt numFmtId="3" formatCode="#,##0"/>
      <alignment horizontal="center"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color auto="1"/>
        <name val="Calibri"/>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horizontal style="thin">
          <color auto="1"/>
        </horizontal>
      </border>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Calibri"/>
        <scheme val="minor"/>
      </font>
      <numFmt numFmtId="169" formatCode="#,##0.0"/>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right style="thin">
          <color indexed="64"/>
        </right>
        <top style="thin">
          <color indexed="64"/>
        </top>
        <bottom/>
      </border>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4" formatCode="#,##0.00"/>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left/>
        <right style="thin">
          <color indexed="64"/>
        </right>
        <top style="thin">
          <color auto="1"/>
        </top>
        <bottom style="thin">
          <color auto="1"/>
        </bottom>
        <horizontal style="thin">
          <color auto="1"/>
        </horizontal>
      </border>
    </dxf>
    <dxf>
      <font>
        <b val="0"/>
        <i val="0"/>
        <strike val="0"/>
        <condense val="0"/>
        <extend val="0"/>
        <outline val="0"/>
        <shadow val="0"/>
        <u val="none"/>
        <vertAlign val="baseline"/>
        <sz val="11"/>
        <color auto="1"/>
        <name val="Calibri"/>
        <scheme val="minor"/>
      </font>
      <border diagonalUp="0" diagonalDown="0" outline="0">
        <left/>
        <right style="thin">
          <color indexed="64"/>
        </right>
        <top style="thin">
          <color indexed="64"/>
        </top>
        <bottom/>
      </border>
    </dxf>
    <dxf>
      <font>
        <strike val="0"/>
        <outline val="0"/>
        <shadow val="0"/>
        <u val="none"/>
        <vertAlign val="baseline"/>
        <sz val="11"/>
        <color auto="1"/>
        <name val="Calibri"/>
        <scheme val="minor"/>
      </font>
      <border diagonalUp="0" diagonalDown="0">
        <left/>
        <right/>
        <top style="thin">
          <color auto="1"/>
        </top>
        <bottom style="thin">
          <color auto="1"/>
        </bottom>
        <horizontal style="thin">
          <color auto="1"/>
        </horizontal>
      </border>
    </dxf>
    <dxf>
      <border>
        <top style="thin">
          <color auto="1"/>
        </top>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dxf>
    <dxf>
      <border>
        <bottom style="thin">
          <color auto="1"/>
        </bottom>
      </border>
    </dxf>
    <dxf>
      <font>
        <strike val="0"/>
        <outline val="0"/>
        <shadow val="0"/>
        <u val="none"/>
        <vertAlign val="baseline"/>
        <sz val="11"/>
        <color auto="1"/>
        <name val="Calibri"/>
        <scheme val="minor"/>
      </font>
      <border diagonalUp="0" diagonalDown="0" outline="0">
        <left style="thin">
          <color indexed="64"/>
        </left>
        <right style="thin">
          <color indexed="64"/>
        </right>
        <top/>
        <bottom/>
      </border>
    </dxf>
    <dxf>
      <numFmt numFmtId="4" formatCode="#,##0.00"/>
    </dxf>
    <dxf>
      <numFmt numFmtId="3" formatCode="#,##0"/>
    </dxf>
    <dxf>
      <numFmt numFmtId="3" formatCode="#,##0"/>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1"/>
        <color auto="1"/>
        <name val="Calibri"/>
        <scheme val="minor"/>
      </font>
      <numFmt numFmtId="165" formatCode="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dxf>
    <dxf>
      <border>
        <bottom style="thin">
          <color auto="1"/>
        </bottom>
      </border>
    </dxf>
    <dxf>
      <font>
        <strike val="0"/>
        <outline val="0"/>
        <shadow val="0"/>
        <u val="none"/>
        <vertAlign val="baseline"/>
        <sz val="11"/>
        <color auto="1"/>
        <name val="Calibri"/>
        <scheme val="minor"/>
      </font>
      <alignment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color auto="1"/>
        <name val="Calibri"/>
        <scheme val="minor"/>
      </font>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dxf>
    <dxf>
      <border>
        <bottom style="thin">
          <color indexed="64"/>
        </bottom>
      </border>
    </dxf>
    <dxf>
      <font>
        <strike val="0"/>
        <outline val="0"/>
        <shadow val="0"/>
        <u val="none"/>
        <vertAlign val="baseline"/>
        <sz val="11"/>
        <color auto="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4" formatCode="#,##0.00"/>
      <border diagonalUp="0" diagonalDown="0">
        <left style="thin">
          <color auto="1"/>
        </left>
        <right style="medium">
          <color indexed="64"/>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2"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2" formatCode="0.00"/>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diagonalDown="0">
        <left style="medium">
          <color indexed="64"/>
        </left>
        <right style="thin">
          <color auto="1"/>
        </right>
        <top style="thin">
          <color auto="1"/>
        </top>
        <bottom style="thin">
          <color auto="1"/>
        </bottom>
        <vertical style="thin">
          <color auto="1"/>
        </vertical>
        <horizontal style="thin">
          <color auto="1"/>
        </horizontal>
      </border>
    </dxf>
    <dxf>
      <alignment textRotation="0" wrapText="1"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 2 Fig 2 chiffres  2007-2017'!$A$15</c:f>
              <c:strCache>
                <c:ptCount val="1"/>
                <c:pt idx="0">
                  <c:v>OMR</c:v>
                </c:pt>
              </c:strCache>
            </c:strRef>
          </c:tx>
          <c:invertIfNegative val="0"/>
          <c:cat>
            <c:numRef>
              <c:f>'Tab 2 Fig 2 chiffres  2007-2017'!$B$13:$C$13</c:f>
              <c:numCache>
                <c:formatCode>General</c:formatCode>
                <c:ptCount val="2"/>
                <c:pt idx="0">
                  <c:v>2007</c:v>
                </c:pt>
                <c:pt idx="1">
                  <c:v>2017</c:v>
                </c:pt>
              </c:numCache>
            </c:numRef>
          </c:cat>
          <c:val>
            <c:numRef>
              <c:f>'Tab 2 Fig 2 chiffres  2007-2017'!$B$15:$C$15</c:f>
              <c:numCache>
                <c:formatCode>#,##0</c:formatCode>
                <c:ptCount val="2"/>
                <c:pt idx="0">
                  <c:v>316.16000000000003</c:v>
                </c:pt>
                <c:pt idx="1">
                  <c:v>253.71128195899999</c:v>
                </c:pt>
              </c:numCache>
            </c:numRef>
          </c:val>
          <c:extLst>
            <c:ext xmlns:c16="http://schemas.microsoft.com/office/drawing/2014/chart" uri="{C3380CC4-5D6E-409C-BE32-E72D297353CC}">
              <c16:uniqueId val="{00000000-8EA4-4640-86A7-14E566B872EB}"/>
            </c:ext>
          </c:extLst>
        </c:ser>
        <c:ser>
          <c:idx val="1"/>
          <c:order val="1"/>
          <c:tx>
            <c:strRef>
              <c:f>'Tab 2 Fig 2 chiffres  2007-2017'!$A$16</c:f>
              <c:strCache>
                <c:ptCount val="1"/>
                <c:pt idx="0">
                  <c:v>Collectes séparées</c:v>
                </c:pt>
              </c:strCache>
            </c:strRef>
          </c:tx>
          <c:spPr>
            <a:solidFill>
              <a:schemeClr val="accent6">
                <a:lumMod val="75000"/>
              </a:schemeClr>
            </a:solidFill>
          </c:spPr>
          <c:invertIfNegative val="0"/>
          <c:cat>
            <c:numRef>
              <c:f>'Tab 2 Fig 2 chiffres  2007-2017'!$B$13:$C$13</c:f>
              <c:numCache>
                <c:formatCode>General</c:formatCode>
                <c:ptCount val="2"/>
                <c:pt idx="0">
                  <c:v>2007</c:v>
                </c:pt>
                <c:pt idx="1">
                  <c:v>2017</c:v>
                </c:pt>
              </c:numCache>
            </c:numRef>
          </c:cat>
          <c:val>
            <c:numRef>
              <c:f>'Tab 2 Fig 2 chiffres  2007-2017'!$B$16:$C$16</c:f>
              <c:numCache>
                <c:formatCode>#,##0</c:formatCode>
                <c:ptCount val="2"/>
                <c:pt idx="0">
                  <c:v>95</c:v>
                </c:pt>
                <c:pt idx="1">
                  <c:v>103</c:v>
                </c:pt>
              </c:numCache>
            </c:numRef>
          </c:val>
          <c:extLst>
            <c:ext xmlns:c16="http://schemas.microsoft.com/office/drawing/2014/chart" uri="{C3380CC4-5D6E-409C-BE32-E72D297353CC}">
              <c16:uniqueId val="{00000001-8EA4-4640-86A7-14E566B872EB}"/>
            </c:ext>
          </c:extLst>
        </c:ser>
        <c:ser>
          <c:idx val="2"/>
          <c:order val="2"/>
          <c:tx>
            <c:strRef>
              <c:f>'Tab 2 Fig 2 chiffres  2007-2017'!$A$17</c:f>
              <c:strCache>
                <c:ptCount val="1"/>
                <c:pt idx="0">
                  <c:v>Déchèterie</c:v>
                </c:pt>
              </c:strCache>
            </c:strRef>
          </c:tx>
          <c:spPr>
            <a:solidFill>
              <a:schemeClr val="bg1">
                <a:lumMod val="65000"/>
              </a:schemeClr>
            </a:solidFill>
          </c:spPr>
          <c:invertIfNegative val="0"/>
          <c:cat>
            <c:numRef>
              <c:f>'Tab 2 Fig 2 chiffres  2007-2017'!$B$13:$C$13</c:f>
              <c:numCache>
                <c:formatCode>General</c:formatCode>
                <c:ptCount val="2"/>
                <c:pt idx="0">
                  <c:v>2007</c:v>
                </c:pt>
                <c:pt idx="1">
                  <c:v>2017</c:v>
                </c:pt>
              </c:numCache>
            </c:numRef>
          </c:cat>
          <c:val>
            <c:numRef>
              <c:f>'Tab 2 Fig 2 chiffres  2007-2017'!$B$17:$C$17</c:f>
              <c:numCache>
                <c:formatCode>#,##0</c:formatCode>
                <c:ptCount val="2"/>
                <c:pt idx="0">
                  <c:v>181</c:v>
                </c:pt>
                <c:pt idx="1">
                  <c:v>223</c:v>
                </c:pt>
              </c:numCache>
            </c:numRef>
          </c:val>
          <c:extLst>
            <c:ext xmlns:c16="http://schemas.microsoft.com/office/drawing/2014/chart" uri="{C3380CC4-5D6E-409C-BE32-E72D297353CC}">
              <c16:uniqueId val="{00000002-8EA4-4640-86A7-14E566B872EB}"/>
            </c:ext>
          </c:extLst>
        </c:ser>
        <c:dLbls>
          <c:showLegendKey val="0"/>
          <c:showVal val="0"/>
          <c:showCatName val="0"/>
          <c:showSerName val="0"/>
          <c:showPercent val="0"/>
          <c:showBubbleSize val="0"/>
        </c:dLbls>
        <c:gapWidth val="75"/>
        <c:overlap val="100"/>
        <c:axId val="112897408"/>
        <c:axId val="115058176"/>
      </c:barChart>
      <c:scatterChart>
        <c:scatterStyle val="lineMarker"/>
        <c:varyColors val="0"/>
        <c:ser>
          <c:idx val="3"/>
          <c:order val="3"/>
          <c:tx>
            <c:strRef>
              <c:f>'Tab 2 Fig 2 chiffres  2007-2017'!$A$18</c:f>
              <c:strCache>
                <c:ptCount val="1"/>
                <c:pt idx="0">
                  <c:v>DMA</c:v>
                </c:pt>
              </c:strCache>
            </c:strRef>
          </c:tx>
          <c:spPr>
            <a:ln w="28575">
              <a:noFill/>
            </a:ln>
          </c:spPr>
          <c:marker>
            <c:symbol val="circle"/>
            <c:size val="7"/>
            <c:spPr>
              <a:solidFill>
                <a:srgbClr val="FFFF00"/>
              </a:solidFill>
            </c:spPr>
          </c:marker>
          <c:yVal>
            <c:numRef>
              <c:f>'Tab 2 Fig 2 chiffres  2007-2017'!$B$18:$C$18</c:f>
              <c:numCache>
                <c:formatCode>#,##0</c:formatCode>
                <c:ptCount val="2"/>
                <c:pt idx="0">
                  <c:v>592</c:v>
                </c:pt>
                <c:pt idx="1">
                  <c:v>580</c:v>
                </c:pt>
              </c:numCache>
            </c:numRef>
          </c:yVal>
          <c:smooth val="0"/>
          <c:extLst>
            <c:ext xmlns:c16="http://schemas.microsoft.com/office/drawing/2014/chart" uri="{C3380CC4-5D6E-409C-BE32-E72D297353CC}">
              <c16:uniqueId val="{00000003-8EA4-4640-86A7-14E566B872EB}"/>
            </c:ext>
          </c:extLst>
        </c:ser>
        <c:dLbls>
          <c:showLegendKey val="0"/>
          <c:showVal val="0"/>
          <c:showCatName val="0"/>
          <c:showSerName val="0"/>
          <c:showPercent val="0"/>
          <c:showBubbleSize val="0"/>
        </c:dLbls>
        <c:axId val="112897408"/>
        <c:axId val="115058176"/>
      </c:scatterChart>
      <c:catAx>
        <c:axId val="112897408"/>
        <c:scaling>
          <c:orientation val="minMax"/>
        </c:scaling>
        <c:delete val="0"/>
        <c:axPos val="b"/>
        <c:numFmt formatCode="General" sourceLinked="1"/>
        <c:majorTickMark val="none"/>
        <c:minorTickMark val="none"/>
        <c:tickLblPos val="nextTo"/>
        <c:crossAx val="115058176"/>
        <c:crosses val="autoZero"/>
        <c:auto val="1"/>
        <c:lblAlgn val="ctr"/>
        <c:lblOffset val="100"/>
        <c:noMultiLvlLbl val="0"/>
      </c:catAx>
      <c:valAx>
        <c:axId val="115058176"/>
        <c:scaling>
          <c:orientation val="minMax"/>
        </c:scaling>
        <c:delete val="0"/>
        <c:axPos val="l"/>
        <c:majorGridlines/>
        <c:minorGridlines/>
        <c:title>
          <c:tx>
            <c:rich>
              <a:bodyPr/>
              <a:lstStyle/>
              <a:p>
                <a:pPr>
                  <a:defRPr b="0"/>
                </a:pPr>
                <a:r>
                  <a:rPr lang="fr-FR" b="0"/>
                  <a:t>kg/hab/an</a:t>
                </a:r>
              </a:p>
            </c:rich>
          </c:tx>
          <c:layout/>
          <c:overlay val="0"/>
        </c:title>
        <c:numFmt formatCode="#,##0" sourceLinked="1"/>
        <c:majorTickMark val="out"/>
        <c:minorTickMark val="none"/>
        <c:tickLblPos val="nextTo"/>
        <c:crossAx val="112897408"/>
        <c:crosses val="autoZero"/>
        <c:crossBetween val="between"/>
        <c:minorUnit val="10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Métaux</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04-4932-911F-A01C918940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04-4932-911F-A01C918940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04-4932-911F-A01C918940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04-4932-911F-A01C918940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D04-4932-911F-A01C9189406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D04-4932-911F-A01C9189406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D04-4932-911F-A01C91894060}"/>
              </c:ext>
            </c:extLst>
          </c:dPt>
          <c:dLbls>
            <c:dLbl>
              <c:idx val="0"/>
              <c:layout>
                <c:manualLayout>
                  <c:x val="0.16307752576062973"/>
                  <c:y val="-4.024805030338243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D04-4932-911F-A01C91894060}"/>
                </c:ext>
              </c:extLst>
            </c:dLbl>
            <c:dLbl>
              <c:idx val="1"/>
              <c:layout>
                <c:manualLayout>
                  <c:x val="-3.3615510260303946E-2"/>
                  <c:y val="-2.6086592276612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04-4932-911F-A01C91894060}"/>
                </c:ext>
              </c:extLst>
            </c:dLbl>
            <c:dLbl>
              <c:idx val="2"/>
              <c:layout>
                <c:manualLayout>
                  <c:x val="-8.5711880089572784E-2"/>
                  <c:y val="9.07323463849950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4-4932-911F-A01C91894060}"/>
                </c:ext>
              </c:extLst>
            </c:dLbl>
            <c:dLbl>
              <c:idx val="3"/>
              <c:layout>
                <c:manualLayout>
                  <c:x val="-0.18593195448930461"/>
                  <c:y val="0.114139900053335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04-4932-911F-A01C91894060}"/>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catégories'!$A$42:$A$45</c:f>
              <c:strCache>
                <c:ptCount val="4"/>
                <c:pt idx="0">
                  <c:v>Emballages métaux ferreux</c:v>
                </c:pt>
                <c:pt idx="1">
                  <c:v>Emballages aluminium</c:v>
                </c:pt>
                <c:pt idx="2">
                  <c:v>Autres métaux ferreux</c:v>
                </c:pt>
                <c:pt idx="3">
                  <c:v>Autres métaux non ferreux</c:v>
                </c:pt>
              </c:strCache>
            </c:strRef>
          </c:cat>
          <c:val>
            <c:numRef>
              <c:f>'Fig 4 OMR compo des catégories'!$B$42:$B$45</c:f>
              <c:numCache>
                <c:formatCode>0.0</c:formatCode>
                <c:ptCount val="4"/>
                <c:pt idx="0">
                  <c:v>1.79135401489749</c:v>
                </c:pt>
                <c:pt idx="1">
                  <c:v>0.65593910132046329</c:v>
                </c:pt>
                <c:pt idx="2">
                  <c:v>0.72143071390229285</c:v>
                </c:pt>
                <c:pt idx="3">
                  <c:v>0.27068410940622001</c:v>
                </c:pt>
              </c:numCache>
            </c:numRef>
          </c:val>
          <c:extLst>
            <c:ext xmlns:c16="http://schemas.microsoft.com/office/drawing/2014/chart" uri="{C3380CC4-5D6E-409C-BE32-E72D297353CC}">
              <c16:uniqueId val="{0000000E-3D04-4932-911F-A01C9189406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Verre</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1B-4874-BC7A-8BF1ED8714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1B-4874-BC7A-8BF1ED8714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1B-4874-BC7A-8BF1ED8714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1B-4874-BC7A-8BF1ED87147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41B-4874-BC7A-8BF1ED87147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41B-4874-BC7A-8BF1ED8714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41B-4874-BC7A-8BF1ED87147D}"/>
              </c:ext>
            </c:extLst>
          </c:dPt>
          <c:dLbls>
            <c:dLbl>
              <c:idx val="0"/>
              <c:layout>
                <c:manualLayout>
                  <c:x val="5.305001381850221E-2"/>
                  <c:y val="2.38354631912950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1B-4874-BC7A-8BF1ED87147D}"/>
                </c:ext>
              </c:extLst>
            </c:dLbl>
            <c:dLbl>
              <c:idx val="1"/>
              <c:layout>
                <c:manualLayout>
                  <c:x val="-9.8398832798941585E-2"/>
                  <c:y val="-6.85825217195679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1B-4874-BC7A-8BF1ED87147D}"/>
                </c:ext>
              </c:extLst>
            </c:dLbl>
            <c:dLbl>
              <c:idx val="2"/>
              <c:layout>
                <c:manualLayout>
                  <c:x val="-0.16624345118369696"/>
                  <c:y val="6.79235049437091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41B-4874-BC7A-8BF1ED87147D}"/>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catégories'!$A$39:$A$41</c:f>
              <c:strCache>
                <c:ptCount val="3"/>
                <c:pt idx="0">
                  <c:v>Emballages en verre incolore</c:v>
                </c:pt>
                <c:pt idx="1">
                  <c:v>Emballages en verre de couleur</c:v>
                </c:pt>
                <c:pt idx="2">
                  <c:v>Autres verres</c:v>
                </c:pt>
              </c:strCache>
            </c:strRef>
          </c:cat>
          <c:val>
            <c:numRef>
              <c:f>'Fig 4 OMR compo des catégories'!$B$39:$B$41</c:f>
              <c:numCache>
                <c:formatCode>0.0</c:formatCode>
                <c:ptCount val="3"/>
                <c:pt idx="0">
                  <c:v>2.6660998344521332</c:v>
                </c:pt>
                <c:pt idx="1">
                  <c:v>2.4156234503139156</c:v>
                </c:pt>
                <c:pt idx="2">
                  <c:v>0.26689598053120261</c:v>
                </c:pt>
              </c:numCache>
            </c:numRef>
          </c:val>
          <c:extLst>
            <c:ext xmlns:c16="http://schemas.microsoft.com/office/drawing/2014/chart" uri="{C3380CC4-5D6E-409C-BE32-E72D297353CC}">
              <c16:uniqueId val="{0000000E-B41B-4874-BC7A-8BF1ED87147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Incombustibles non classés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8E-467E-89D6-9F563FEDC5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8E-467E-89D6-9F563FEDC5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8E-467E-89D6-9F563FEDC5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8E-467E-89D6-9F563FEDC52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68E-467E-89D6-9F563FEDC52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68E-467E-89D6-9F563FEDC52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68E-467E-89D6-9F563FEDC526}"/>
              </c:ext>
            </c:extLst>
          </c:dPt>
          <c:dLbls>
            <c:dLbl>
              <c:idx val="0"/>
              <c:layout>
                <c:manualLayout>
                  <c:x val="0.23091445752267326"/>
                  <c:y val="0.1149565107436075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8E-467E-89D6-9F563FEDC526}"/>
                </c:ext>
              </c:extLst>
            </c:dLbl>
            <c:dLbl>
              <c:idx val="1"/>
              <c:layout>
                <c:manualLayout>
                  <c:x val="-0.2316904061820593"/>
                  <c:y val="-0.1437589530063133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68E-467E-89D6-9F563FEDC526}"/>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catégories'!$A$46:$A$47</c:f>
              <c:strCache>
                <c:ptCount val="2"/>
                <c:pt idx="0">
                  <c:v>Emballages incombustibles</c:v>
                </c:pt>
                <c:pt idx="1">
                  <c:v>Autres incombustibles</c:v>
                </c:pt>
              </c:strCache>
            </c:strRef>
          </c:cat>
          <c:val>
            <c:numRef>
              <c:f>'Fig 4 OMR compo des catégories'!$B$46:$B$47</c:f>
              <c:numCache>
                <c:formatCode>0.0</c:formatCode>
                <c:ptCount val="2"/>
                <c:pt idx="0">
                  <c:v>0.17748426383484159</c:v>
                </c:pt>
                <c:pt idx="1">
                  <c:v>4.0880737115926165</c:v>
                </c:pt>
              </c:numCache>
            </c:numRef>
          </c:val>
          <c:extLst>
            <c:ext xmlns:c16="http://schemas.microsoft.com/office/drawing/2014/chart" uri="{C3380CC4-5D6E-409C-BE32-E72D297353CC}">
              <c16:uniqueId val="{0000000E-C68E-467E-89D6-9F563FEDC52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Déchets dangereux</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B7-4146-B69C-06466D85C0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B7-4146-B69C-06466D85C0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B7-4146-B69C-06466D85C0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B7-4146-B69C-06466D85C0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B7-4146-B69C-06466D85C09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B7-4146-B69C-06466D85C09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9B7-4146-B69C-06466D85C09D}"/>
              </c:ext>
            </c:extLst>
          </c:dPt>
          <c:dLbls>
            <c:dLbl>
              <c:idx val="0"/>
              <c:layout>
                <c:manualLayout>
                  <c:x val="5.3118895751535632E-2"/>
                  <c:y val="-8.67129709078100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9B7-4146-B69C-06466D85C09D}"/>
                </c:ext>
              </c:extLst>
            </c:dLbl>
            <c:dLbl>
              <c:idx val="2"/>
              <c:layout>
                <c:manualLayout>
                  <c:x val="-0.22816839972445976"/>
                  <c:y val="-4.963646052548388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9B7-4146-B69C-06466D85C09D}"/>
                </c:ext>
              </c:extLst>
            </c:dLbl>
            <c:dLbl>
              <c:idx val="3"/>
              <c:layout>
                <c:manualLayout>
                  <c:x val="-0.15949332897490323"/>
                  <c:y val="-0.1112158024512947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9B7-4146-B69C-06466D85C09D}"/>
                </c:ext>
              </c:extLst>
            </c:dLbl>
            <c:dLbl>
              <c:idx val="4"/>
              <c:layout>
                <c:manualLayout>
                  <c:x val="-0.1847012580030174"/>
                  <c:y val="0.175902887542111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9B7-4146-B69C-06466D85C09D}"/>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catégories'!$A$48:$A$52</c:f>
              <c:strCache>
                <c:ptCount val="5"/>
                <c:pt idx="0">
                  <c:v>Déchets diffus spécifiques</c:v>
                </c:pt>
                <c:pt idx="1">
                  <c:v>Tubes fluorescents et ampoules basse consommation</c:v>
                </c:pt>
                <c:pt idx="2">
                  <c:v>Piles et accumulateurs</c:v>
                </c:pt>
                <c:pt idx="3">
                  <c:v>Déchets médicaux</c:v>
                </c:pt>
                <c:pt idx="4">
                  <c:v>Autres déchets spéciaux</c:v>
                </c:pt>
              </c:strCache>
            </c:strRef>
          </c:cat>
          <c:val>
            <c:numRef>
              <c:f>'Fig 4 OMR compo des catégories'!$B$48:$B$52</c:f>
              <c:numCache>
                <c:formatCode>0.0</c:formatCode>
                <c:ptCount val="5"/>
                <c:pt idx="0">
                  <c:v>0.28697125730767292</c:v>
                </c:pt>
                <c:pt idx="1">
                  <c:v>8.1083845702838147E-3</c:v>
                </c:pt>
                <c:pt idx="2">
                  <c:v>5.3053991202090194E-2</c:v>
                </c:pt>
                <c:pt idx="3">
                  <c:v>0.16087959991907153</c:v>
                </c:pt>
                <c:pt idx="4">
                  <c:v>0.11057978809058126</c:v>
                </c:pt>
              </c:numCache>
            </c:numRef>
          </c:val>
          <c:extLst>
            <c:ext xmlns:c16="http://schemas.microsoft.com/office/drawing/2014/chart" uri="{C3380CC4-5D6E-409C-BE32-E72D297353CC}">
              <c16:uniqueId val="{0000000E-79B7-4146-B69C-06466D85C09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5 compo M - AE - MAE'!$C$3</c:f>
              <c:strCache>
                <c:ptCount val="1"/>
                <c:pt idx="0">
                  <c:v>M</c:v>
                </c:pt>
              </c:strCache>
            </c:strRef>
          </c:tx>
          <c:invertIfNegative val="0"/>
          <c:errBars>
            <c:errBarType val="both"/>
            <c:errValType val="cust"/>
            <c:noEndCap val="0"/>
            <c:plus>
              <c:numRef>
                <c:f>'Fig 5 compo M - AE - MAE'!$D$4:$D$15</c:f>
                <c:numCache>
                  <c:formatCode>General</c:formatCode>
                  <c:ptCount val="12"/>
                  <c:pt idx="0">
                    <c:v>1.0737090977367463</c:v>
                  </c:pt>
                  <c:pt idx="1">
                    <c:v>0.62535996155824602</c:v>
                  </c:pt>
                  <c:pt idx="2">
                    <c:v>0.3688237982010229</c:v>
                  </c:pt>
                  <c:pt idx="3">
                    <c:v>0.1654847430870327</c:v>
                  </c:pt>
                  <c:pt idx="4">
                    <c:v>0.2980755537517944</c:v>
                  </c:pt>
                  <c:pt idx="5">
                    <c:v>0.70970615047374186</c:v>
                  </c:pt>
                  <c:pt idx="6">
                    <c:v>0.49185384345896349</c:v>
                  </c:pt>
                  <c:pt idx="7">
                    <c:v>0.39875488239541185</c:v>
                  </c:pt>
                  <c:pt idx="8">
                    <c:v>0.43988904380465704</c:v>
                  </c:pt>
                  <c:pt idx="9">
                    <c:v>0.27725697011752504</c:v>
                  </c:pt>
                  <c:pt idx="10">
                    <c:v>0.4983531698790945</c:v>
                  </c:pt>
                  <c:pt idx="11">
                    <c:v>9.9214417590583123E-2</c:v>
                  </c:pt>
                </c:numCache>
              </c:numRef>
            </c:plus>
            <c:minus>
              <c:numRef>
                <c:f>'Fig 5 compo M - AE - MAE'!$D$4:$D$15</c:f>
                <c:numCache>
                  <c:formatCode>General</c:formatCode>
                  <c:ptCount val="12"/>
                  <c:pt idx="0">
                    <c:v>1.0737090977367463</c:v>
                  </c:pt>
                  <c:pt idx="1">
                    <c:v>0.62535996155824602</c:v>
                  </c:pt>
                  <c:pt idx="2">
                    <c:v>0.3688237982010229</c:v>
                  </c:pt>
                  <c:pt idx="3">
                    <c:v>0.1654847430870327</c:v>
                  </c:pt>
                  <c:pt idx="4">
                    <c:v>0.2980755537517944</c:v>
                  </c:pt>
                  <c:pt idx="5">
                    <c:v>0.70970615047374186</c:v>
                  </c:pt>
                  <c:pt idx="6">
                    <c:v>0.49185384345896349</c:v>
                  </c:pt>
                  <c:pt idx="7">
                    <c:v>0.39875488239541185</c:v>
                  </c:pt>
                  <c:pt idx="8">
                    <c:v>0.43988904380465704</c:v>
                  </c:pt>
                  <c:pt idx="9">
                    <c:v>0.27725697011752504</c:v>
                  </c:pt>
                  <c:pt idx="10">
                    <c:v>0.4983531698790945</c:v>
                  </c:pt>
                  <c:pt idx="11">
                    <c:v>9.9214417590583123E-2</c:v>
                  </c:pt>
                </c:numCache>
              </c:numRef>
            </c:minus>
          </c:errBars>
          <c:cat>
            <c:strRef>
              <c:f>'Fig 5 compo M - AE - MAE'!$B$4:$B$15</c:f>
              <c:strCache>
                <c:ptCount val="12"/>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strCache>
            </c:strRef>
          </c:cat>
          <c:val>
            <c:numRef>
              <c:f>'Fig 5 compo M - AE - MAE'!$C$4:$C$15</c:f>
              <c:numCache>
                <c:formatCode>0.0</c:formatCode>
                <c:ptCount val="12"/>
                <c:pt idx="0">
                  <c:v>32.126183930288491</c:v>
                </c:pt>
                <c:pt idx="1">
                  <c:v>8.482183899622104</c:v>
                </c:pt>
                <c:pt idx="2">
                  <c:v>5.9515740423983834</c:v>
                </c:pt>
                <c:pt idx="3">
                  <c:v>2.4443328683404975</c:v>
                </c:pt>
                <c:pt idx="4">
                  <c:v>3.3334407358064078</c:v>
                </c:pt>
                <c:pt idx="5">
                  <c:v>13.724047131069607</c:v>
                </c:pt>
                <c:pt idx="6">
                  <c:v>14.68453555400005</c:v>
                </c:pt>
                <c:pt idx="7">
                  <c:v>4.7204454957364295</c:v>
                </c:pt>
                <c:pt idx="8">
                  <c:v>5.6403350569529973</c:v>
                </c:pt>
                <c:pt idx="9">
                  <c:v>3.5894450818532762</c:v>
                </c:pt>
                <c:pt idx="10">
                  <c:v>4.732587435470311</c:v>
                </c:pt>
                <c:pt idx="11">
                  <c:v>0.57088876846145509</c:v>
                </c:pt>
              </c:numCache>
            </c:numRef>
          </c:val>
          <c:extLst>
            <c:ext xmlns:c16="http://schemas.microsoft.com/office/drawing/2014/chart" uri="{C3380CC4-5D6E-409C-BE32-E72D297353CC}">
              <c16:uniqueId val="{00000000-E09D-4D4A-9BD9-E2225A2C658B}"/>
            </c:ext>
          </c:extLst>
        </c:ser>
        <c:ser>
          <c:idx val="1"/>
          <c:order val="1"/>
          <c:tx>
            <c:strRef>
              <c:f>'Fig 5 compo M - AE - MAE'!$E$3</c:f>
              <c:strCache>
                <c:ptCount val="1"/>
                <c:pt idx="0">
                  <c:v>AE</c:v>
                </c:pt>
              </c:strCache>
            </c:strRef>
          </c:tx>
          <c:invertIfNegative val="0"/>
          <c:errBars>
            <c:errBarType val="both"/>
            <c:errValType val="cust"/>
            <c:noEndCap val="0"/>
            <c:plus>
              <c:numRef>
                <c:f>'Fig 5 compo M - AE - MAE'!$F$4:$F$15</c:f>
                <c:numCache>
                  <c:formatCode>General</c:formatCode>
                  <c:ptCount val="12"/>
                  <c:pt idx="0">
                    <c:v>1.5637422337148086</c:v>
                  </c:pt>
                  <c:pt idx="1">
                    <c:v>0.84776174703070695</c:v>
                  </c:pt>
                  <c:pt idx="2">
                    <c:v>0.69042480220184221</c:v>
                  </c:pt>
                  <c:pt idx="3">
                    <c:v>0.19218846937903319</c:v>
                  </c:pt>
                  <c:pt idx="4">
                    <c:v>0.31766009154384495</c:v>
                  </c:pt>
                  <c:pt idx="5">
                    <c:v>1.2302315704892293</c:v>
                  </c:pt>
                  <c:pt idx="6">
                    <c:v>0.57623323989984943</c:v>
                  </c:pt>
                  <c:pt idx="7">
                    <c:v>0.40337459347756527</c:v>
                  </c:pt>
                  <c:pt idx="8">
                    <c:v>0.49186758616868281</c:v>
                  </c:pt>
                  <c:pt idx="9">
                    <c:v>0.28973025483358461</c:v>
                  </c:pt>
                  <c:pt idx="10">
                    <c:v>0.40974889399134751</c:v>
                  </c:pt>
                  <c:pt idx="11">
                    <c:v>0.20338087029049967</c:v>
                  </c:pt>
                </c:numCache>
              </c:numRef>
            </c:plus>
            <c:minus>
              <c:numRef>
                <c:f>'Fig 5 compo M - AE - MAE'!$F$4:$F$15</c:f>
                <c:numCache>
                  <c:formatCode>General</c:formatCode>
                  <c:ptCount val="12"/>
                  <c:pt idx="0">
                    <c:v>1.5637422337148086</c:v>
                  </c:pt>
                  <c:pt idx="1">
                    <c:v>0.84776174703070695</c:v>
                  </c:pt>
                  <c:pt idx="2">
                    <c:v>0.69042480220184221</c:v>
                  </c:pt>
                  <c:pt idx="3">
                    <c:v>0.19218846937903319</c:v>
                  </c:pt>
                  <c:pt idx="4">
                    <c:v>0.31766009154384495</c:v>
                  </c:pt>
                  <c:pt idx="5">
                    <c:v>1.2302315704892293</c:v>
                  </c:pt>
                  <c:pt idx="6">
                    <c:v>0.57623323989984943</c:v>
                  </c:pt>
                  <c:pt idx="7">
                    <c:v>0.40337459347756527</c:v>
                  </c:pt>
                  <c:pt idx="8">
                    <c:v>0.49186758616868281</c:v>
                  </c:pt>
                  <c:pt idx="9">
                    <c:v>0.28973025483358461</c:v>
                  </c:pt>
                  <c:pt idx="10">
                    <c:v>0.40974889399134751</c:v>
                  </c:pt>
                  <c:pt idx="11">
                    <c:v>0.20338087029049967</c:v>
                  </c:pt>
                </c:numCache>
              </c:numRef>
            </c:minus>
          </c:errBars>
          <c:cat>
            <c:strRef>
              <c:f>'Fig 5 compo M - AE - MAE'!$B$4:$B$15</c:f>
              <c:strCache>
                <c:ptCount val="12"/>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strCache>
            </c:strRef>
          </c:cat>
          <c:val>
            <c:numRef>
              <c:f>'Fig 5 compo M - AE - MAE'!$E$4:$E$15</c:f>
              <c:numCache>
                <c:formatCode>0.0</c:formatCode>
                <c:ptCount val="12"/>
                <c:pt idx="0">
                  <c:v>34.343251301016238</c:v>
                </c:pt>
                <c:pt idx="1">
                  <c:v>9.7503016123018025</c:v>
                </c:pt>
                <c:pt idx="2">
                  <c:v>7.7890911980712731</c:v>
                </c:pt>
                <c:pt idx="3">
                  <c:v>1.9162469555978179</c:v>
                </c:pt>
                <c:pt idx="4">
                  <c:v>1.8429300952194194</c:v>
                </c:pt>
                <c:pt idx="5">
                  <c:v>14.33141855547869</c:v>
                </c:pt>
                <c:pt idx="6">
                  <c:v>14.527445607460004</c:v>
                </c:pt>
                <c:pt idx="7">
                  <c:v>4.2188258516639783</c:v>
                </c:pt>
                <c:pt idx="8">
                  <c:v>4.4743592891918551</c:v>
                </c:pt>
                <c:pt idx="9">
                  <c:v>3.066455431791741</c:v>
                </c:pt>
                <c:pt idx="10">
                  <c:v>2.9987843918565904</c:v>
                </c:pt>
                <c:pt idx="11">
                  <c:v>0.7408897103506038</c:v>
                </c:pt>
              </c:numCache>
            </c:numRef>
          </c:val>
          <c:extLst>
            <c:ext xmlns:c16="http://schemas.microsoft.com/office/drawing/2014/chart" uri="{C3380CC4-5D6E-409C-BE32-E72D297353CC}">
              <c16:uniqueId val="{00000001-E09D-4D4A-9BD9-E2225A2C658B}"/>
            </c:ext>
          </c:extLst>
        </c:ser>
        <c:ser>
          <c:idx val="2"/>
          <c:order val="2"/>
          <c:tx>
            <c:strRef>
              <c:f>'Fig 5 compo M - AE - MAE'!$G$3</c:f>
              <c:strCache>
                <c:ptCount val="1"/>
                <c:pt idx="0">
                  <c:v>MAE</c:v>
                </c:pt>
              </c:strCache>
            </c:strRef>
          </c:tx>
          <c:invertIfNegative val="0"/>
          <c:errBars>
            <c:errBarType val="both"/>
            <c:errValType val="cust"/>
            <c:noEndCap val="0"/>
            <c:plus>
              <c:numRef>
                <c:f>'Fig 5 compo M - AE - MAE'!$H$4:$H$15</c:f>
                <c:numCache>
                  <c:formatCode>General</c:formatCode>
                  <c:ptCount val="12"/>
                  <c:pt idx="0">
                    <c:v>0.99382577029275043</c:v>
                  </c:pt>
                  <c:pt idx="1">
                    <c:v>0.5643604713362893</c:v>
                  </c:pt>
                  <c:pt idx="2">
                    <c:v>0.39049244381685566</c:v>
                  </c:pt>
                  <c:pt idx="3">
                    <c:v>0.1431839166770309</c:v>
                  </c:pt>
                  <c:pt idx="4">
                    <c:v>0.24249289845197514</c:v>
                  </c:pt>
                  <c:pt idx="5">
                    <c:v>0.65771003416255058</c:v>
                  </c:pt>
                  <c:pt idx="6">
                    <c:v>0.43499564764666282</c:v>
                  </c:pt>
                  <c:pt idx="7">
                    <c:v>0.35012812524755127</c:v>
                  </c:pt>
                  <c:pt idx="8">
                    <c:v>0.37883485947871587</c:v>
                  </c:pt>
                  <c:pt idx="9">
                    <c:v>0.23421478112916508</c:v>
                  </c:pt>
                  <c:pt idx="10">
                    <c:v>0.42169024988496928</c:v>
                  </c:pt>
                  <c:pt idx="11">
                    <c:v>9.9471696966148021E-2</c:v>
                  </c:pt>
                </c:numCache>
              </c:numRef>
            </c:plus>
            <c:minus>
              <c:numRef>
                <c:f>'Fig 5 compo M - AE - MAE'!$H$4:$H$15</c:f>
                <c:numCache>
                  <c:formatCode>General</c:formatCode>
                  <c:ptCount val="12"/>
                  <c:pt idx="0">
                    <c:v>0.99382577029275043</c:v>
                  </c:pt>
                  <c:pt idx="1">
                    <c:v>0.5643604713362893</c:v>
                  </c:pt>
                  <c:pt idx="2">
                    <c:v>0.39049244381685566</c:v>
                  </c:pt>
                  <c:pt idx="3">
                    <c:v>0.1431839166770309</c:v>
                  </c:pt>
                  <c:pt idx="4">
                    <c:v>0.24249289845197514</c:v>
                  </c:pt>
                  <c:pt idx="5">
                    <c:v>0.65771003416255058</c:v>
                  </c:pt>
                  <c:pt idx="6">
                    <c:v>0.43499564764666282</c:v>
                  </c:pt>
                  <c:pt idx="7">
                    <c:v>0.35012812524755127</c:v>
                  </c:pt>
                  <c:pt idx="8">
                    <c:v>0.37883485947871587</c:v>
                  </c:pt>
                  <c:pt idx="9">
                    <c:v>0.23421478112916508</c:v>
                  </c:pt>
                  <c:pt idx="10">
                    <c:v>0.42169024988496928</c:v>
                  </c:pt>
                  <c:pt idx="11">
                    <c:v>9.9471696966148021E-2</c:v>
                  </c:pt>
                </c:numCache>
              </c:numRef>
            </c:minus>
          </c:errBars>
          <c:cat>
            <c:strRef>
              <c:f>'Fig 5 compo M - AE - MAE'!$B$4:$B$15</c:f>
              <c:strCache>
                <c:ptCount val="12"/>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strCache>
            </c:strRef>
          </c:cat>
          <c:val>
            <c:numRef>
              <c:f>'Fig 5 compo M - AE - MAE'!$G$4:$G$15</c:f>
              <c:numCache>
                <c:formatCode>0.0</c:formatCode>
                <c:ptCount val="12"/>
                <c:pt idx="0">
                  <c:v>32.759130962328712</c:v>
                </c:pt>
                <c:pt idx="1">
                  <c:v>8.6128091519223293</c:v>
                </c:pt>
                <c:pt idx="2">
                  <c:v>6.4080714900852618</c:v>
                </c:pt>
                <c:pt idx="3">
                  <c:v>2.3372684964182922</c:v>
                </c:pt>
                <c:pt idx="4">
                  <c:v>3.0316602797141745</c:v>
                </c:pt>
                <c:pt idx="5">
                  <c:v>13.912847770848886</c:v>
                </c:pt>
                <c:pt idx="6">
                  <c:v>14.694376652312288</c:v>
                </c:pt>
                <c:pt idx="7">
                  <c:v>4.5703719854660037</c:v>
                </c:pt>
                <c:pt idx="8">
                  <c:v>5.3482423471829135</c:v>
                </c:pt>
                <c:pt idx="9">
                  <c:v>3.4393298703807811</c:v>
                </c:pt>
                <c:pt idx="10">
                  <c:v>4.2654923985136142</c:v>
                </c:pt>
                <c:pt idx="11">
                  <c:v>0.6195930210896996</c:v>
                </c:pt>
              </c:numCache>
            </c:numRef>
          </c:val>
          <c:extLst>
            <c:ext xmlns:c16="http://schemas.microsoft.com/office/drawing/2014/chart" uri="{C3380CC4-5D6E-409C-BE32-E72D297353CC}">
              <c16:uniqueId val="{00000002-E09D-4D4A-9BD9-E2225A2C658B}"/>
            </c:ext>
          </c:extLst>
        </c:ser>
        <c:dLbls>
          <c:showLegendKey val="0"/>
          <c:showVal val="0"/>
          <c:showCatName val="0"/>
          <c:showSerName val="0"/>
          <c:showPercent val="0"/>
          <c:showBubbleSize val="0"/>
        </c:dLbls>
        <c:gapWidth val="150"/>
        <c:axId val="118922624"/>
        <c:axId val="118928512"/>
      </c:barChart>
      <c:catAx>
        <c:axId val="118922624"/>
        <c:scaling>
          <c:orientation val="minMax"/>
        </c:scaling>
        <c:delete val="0"/>
        <c:axPos val="b"/>
        <c:numFmt formatCode="General" sourceLinked="0"/>
        <c:majorTickMark val="none"/>
        <c:minorTickMark val="none"/>
        <c:tickLblPos val="nextTo"/>
        <c:txPr>
          <a:bodyPr/>
          <a:lstStyle/>
          <a:p>
            <a:pPr>
              <a:defRPr sz="900"/>
            </a:pPr>
            <a:endParaRPr lang="fr-FR"/>
          </a:p>
        </c:txPr>
        <c:crossAx val="118928512"/>
        <c:crosses val="autoZero"/>
        <c:auto val="1"/>
        <c:lblAlgn val="ctr"/>
        <c:lblOffset val="100"/>
        <c:noMultiLvlLbl val="0"/>
      </c:catAx>
      <c:valAx>
        <c:axId val="118928512"/>
        <c:scaling>
          <c:orientation val="minMax"/>
        </c:scaling>
        <c:delete val="0"/>
        <c:axPos val="l"/>
        <c:majorGridlines/>
        <c:title>
          <c:tx>
            <c:rich>
              <a:bodyPr/>
              <a:lstStyle/>
              <a:p>
                <a:pPr>
                  <a:defRPr/>
                </a:pPr>
                <a:r>
                  <a:rPr lang="fr-FR"/>
                  <a:t>%</a:t>
                </a:r>
              </a:p>
            </c:rich>
          </c:tx>
          <c:layout>
            <c:manualLayout>
              <c:xMode val="edge"/>
              <c:yMode val="edge"/>
              <c:x val="3.0555555555555555E-2"/>
              <c:y val="0.32943460192475943"/>
            </c:manualLayout>
          </c:layout>
          <c:overlay val="0"/>
        </c:title>
        <c:numFmt formatCode="0.0" sourceLinked="1"/>
        <c:majorTickMark val="out"/>
        <c:minorTickMark val="none"/>
        <c:tickLblPos val="nextTo"/>
        <c:txPr>
          <a:bodyPr/>
          <a:lstStyle/>
          <a:p>
            <a:pPr>
              <a:defRPr sz="900"/>
            </a:pPr>
            <a:endParaRPr lang="fr-FR"/>
          </a:p>
        </c:txPr>
        <c:crossAx val="118922624"/>
        <c:crosses val="autoZero"/>
        <c:crossBetween val="between"/>
      </c:valAx>
    </c:plotArea>
    <c:legend>
      <c:legendPos val="b"/>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6 OMR ratios 93-2007-2017'!$F$24</c:f>
              <c:strCache>
                <c:ptCount val="1"/>
                <c:pt idx="0">
                  <c:v>1993</c:v>
                </c:pt>
              </c:strCache>
            </c:strRef>
          </c:tx>
          <c:spPr>
            <a:solidFill>
              <a:schemeClr val="accent3"/>
            </a:solidFill>
          </c:spPr>
          <c:invertIfNegative val="0"/>
          <c:cat>
            <c:strRef>
              <c:f>'Fig 6 OMR ratios 93-2007-2017'!$A$26:$A$37</c:f>
              <c:strCache>
                <c:ptCount val="12"/>
                <c:pt idx="0">
                  <c:v>1. Putrescibles</c:v>
                </c:pt>
                <c:pt idx="1">
                  <c:v>2. Papiers</c:v>
                </c:pt>
                <c:pt idx="2">
                  <c:v>3. Cartons</c:v>
                </c:pt>
                <c:pt idx="3">
                  <c:v>4. Composites</c:v>
                </c:pt>
                <c:pt idx="4">
                  <c:v>5. Textiles</c:v>
                </c:pt>
                <c:pt idx="5">
                  <c:v>6. Textiles sanitaires</c:v>
                </c:pt>
                <c:pt idx="6">
                  <c:v>7. Plastiques</c:v>
                </c:pt>
                <c:pt idx="7">
                  <c:v>8. Combustibles non classés</c:v>
                </c:pt>
                <c:pt idx="8">
                  <c:v>9. Verre</c:v>
                </c:pt>
                <c:pt idx="9">
                  <c:v>10. Métaux</c:v>
                </c:pt>
                <c:pt idx="10">
                  <c:v>11. Incombustibles non classés</c:v>
                </c:pt>
                <c:pt idx="11">
                  <c:v>12. Déchets dangereux</c:v>
                </c:pt>
              </c:strCache>
            </c:strRef>
          </c:cat>
          <c:val>
            <c:numRef>
              <c:f>'Fig 6 OMR ratios 93-2007-2017'!$F$26:$F$37</c:f>
              <c:numCache>
                <c:formatCode>0</c:formatCode>
                <c:ptCount val="12"/>
                <c:pt idx="0">
                  <c:v>118.68</c:v>
                </c:pt>
                <c:pt idx="1">
                  <c:v>63.296000000000006</c:v>
                </c:pt>
                <c:pt idx="2">
                  <c:v>39.56</c:v>
                </c:pt>
                <c:pt idx="3">
                  <c:v>3.9560000000000004</c:v>
                </c:pt>
                <c:pt idx="4">
                  <c:v>11.868</c:v>
                </c:pt>
                <c:pt idx="5">
                  <c:v>11.868</c:v>
                </c:pt>
                <c:pt idx="6">
                  <c:v>47.472000000000001</c:v>
                </c:pt>
                <c:pt idx="7">
                  <c:v>11.868</c:v>
                </c:pt>
                <c:pt idx="8">
                  <c:v>39.56</c:v>
                </c:pt>
                <c:pt idx="9">
                  <c:v>15.824000000000002</c:v>
                </c:pt>
                <c:pt idx="10">
                  <c:v>27.692000000000004</c:v>
                </c:pt>
                <c:pt idx="11">
                  <c:v>3.9560000000000004</c:v>
                </c:pt>
              </c:numCache>
            </c:numRef>
          </c:val>
          <c:extLst>
            <c:ext xmlns:c16="http://schemas.microsoft.com/office/drawing/2014/chart" uri="{C3380CC4-5D6E-409C-BE32-E72D297353CC}">
              <c16:uniqueId val="{00000000-B335-43EF-AFBC-0FD19F8B93AF}"/>
            </c:ext>
          </c:extLst>
        </c:ser>
        <c:ser>
          <c:idx val="1"/>
          <c:order val="1"/>
          <c:tx>
            <c:strRef>
              <c:f>'Fig 6 OMR ratios 93-2007-2017'!$D$24</c:f>
              <c:strCache>
                <c:ptCount val="1"/>
                <c:pt idx="0">
                  <c:v>2007</c:v>
                </c:pt>
              </c:strCache>
            </c:strRef>
          </c:tx>
          <c:invertIfNegative val="0"/>
          <c:errBars>
            <c:errBarType val="both"/>
            <c:errValType val="cust"/>
            <c:noEndCap val="0"/>
            <c:plus>
              <c:numRef>
                <c:f>'Fig 6 OMR ratios 93-2007-2017'!$E$26:$E$37</c:f>
                <c:numCache>
                  <c:formatCode>General</c:formatCode>
                  <c:ptCount val="12"/>
                  <c:pt idx="0">
                    <c:v>14.090576356428759</c:v>
                  </c:pt>
                  <c:pt idx="1">
                    <c:v>3.3815865276790755</c:v>
                  </c:pt>
                  <c:pt idx="2">
                    <c:v>1.6772487555653122</c:v>
                  </c:pt>
                  <c:pt idx="3">
                    <c:v>1.0993365119424774</c:v>
                  </c:pt>
                  <c:pt idx="4">
                    <c:v>1.7023090380023023</c:v>
                  </c:pt>
                  <c:pt idx="5">
                    <c:v>3.6452725948463609</c:v>
                  </c:pt>
                  <c:pt idx="6">
                    <c:v>2.0892997598762353</c:v>
                  </c:pt>
                  <c:pt idx="7">
                    <c:v>1.653230288850549</c:v>
                  </c:pt>
                  <c:pt idx="8">
                    <c:v>2.2707997551772654</c:v>
                  </c:pt>
                  <c:pt idx="9">
                    <c:v>1.0571729078221308</c:v>
                  </c:pt>
                  <c:pt idx="10">
                    <c:v>2.4740546323275012</c:v>
                  </c:pt>
                  <c:pt idx="11">
                    <c:v>0.92523842013381818</c:v>
                  </c:pt>
                </c:numCache>
              </c:numRef>
            </c:plus>
            <c:minus>
              <c:numRef>
                <c:f>'Fig 6 OMR ratios 93-2007-2017'!$E$26:$E$37</c:f>
                <c:numCache>
                  <c:formatCode>General</c:formatCode>
                  <c:ptCount val="12"/>
                  <c:pt idx="0">
                    <c:v>14.090576356428759</c:v>
                  </c:pt>
                  <c:pt idx="1">
                    <c:v>3.3815865276790755</c:v>
                  </c:pt>
                  <c:pt idx="2">
                    <c:v>1.6772487555653122</c:v>
                  </c:pt>
                  <c:pt idx="3">
                    <c:v>1.0993365119424774</c:v>
                  </c:pt>
                  <c:pt idx="4">
                    <c:v>1.7023090380023023</c:v>
                  </c:pt>
                  <c:pt idx="5">
                    <c:v>3.6452725948463609</c:v>
                  </c:pt>
                  <c:pt idx="6">
                    <c:v>2.0892997598762353</c:v>
                  </c:pt>
                  <c:pt idx="7">
                    <c:v>1.653230288850549</c:v>
                  </c:pt>
                  <c:pt idx="8">
                    <c:v>2.2707997551772654</c:v>
                  </c:pt>
                  <c:pt idx="9">
                    <c:v>1.0571729078221308</c:v>
                  </c:pt>
                  <c:pt idx="10">
                    <c:v>2.4740546323275012</c:v>
                  </c:pt>
                  <c:pt idx="11">
                    <c:v>0.92523842013381818</c:v>
                  </c:pt>
                </c:numCache>
              </c:numRef>
            </c:minus>
          </c:errBars>
          <c:cat>
            <c:strRef>
              <c:f>'Fig 6 OMR ratios 93-2007-2017'!$A$26:$A$37</c:f>
              <c:strCache>
                <c:ptCount val="12"/>
                <c:pt idx="0">
                  <c:v>1. Putrescibles</c:v>
                </c:pt>
                <c:pt idx="1">
                  <c:v>2. Papiers</c:v>
                </c:pt>
                <c:pt idx="2">
                  <c:v>3. Cartons</c:v>
                </c:pt>
                <c:pt idx="3">
                  <c:v>4. Composites</c:v>
                </c:pt>
                <c:pt idx="4">
                  <c:v>5. Textiles</c:v>
                </c:pt>
                <c:pt idx="5">
                  <c:v>6. Textiles sanitaires</c:v>
                </c:pt>
                <c:pt idx="6">
                  <c:v>7. Plastiques</c:v>
                </c:pt>
                <c:pt idx="7">
                  <c:v>8. Combustibles non classés</c:v>
                </c:pt>
                <c:pt idx="8">
                  <c:v>9. Verre</c:v>
                </c:pt>
                <c:pt idx="9">
                  <c:v>10. Métaux</c:v>
                </c:pt>
                <c:pt idx="10">
                  <c:v>11. Incombustibles non classés</c:v>
                </c:pt>
                <c:pt idx="11">
                  <c:v>12. Déchets dangereux</c:v>
                </c:pt>
              </c:strCache>
            </c:strRef>
          </c:cat>
          <c:val>
            <c:numRef>
              <c:f>'Fig 6 OMR ratios 93-2007-2017'!$D$26:$D$37</c:f>
              <c:numCache>
                <c:formatCode>0</c:formatCode>
                <c:ptCount val="12"/>
                <c:pt idx="0">
                  <c:v>125.07340615128476</c:v>
                </c:pt>
                <c:pt idx="1">
                  <c:v>33.054834857737646</c:v>
                </c:pt>
                <c:pt idx="2">
                  <c:v>18.101442012442529</c:v>
                </c:pt>
                <c:pt idx="3">
                  <c:v>5.4105042829760563</c:v>
                </c:pt>
                <c:pt idx="4">
                  <c:v>7.3809675396063801</c:v>
                </c:pt>
                <c:pt idx="5">
                  <c:v>33.644418728052251</c:v>
                </c:pt>
                <c:pt idx="6">
                  <c:v>36.847047909418116</c:v>
                </c:pt>
                <c:pt idx="7">
                  <c:v>8.1435983885088898</c:v>
                </c:pt>
                <c:pt idx="8">
                  <c:v>19.875462425087427</c:v>
                </c:pt>
                <c:pt idx="9">
                  <c:v>9.4286623860523076</c:v>
                </c:pt>
                <c:pt idx="10">
                  <c:v>16.609518872379603</c:v>
                </c:pt>
                <c:pt idx="11">
                  <c:v>2.6301364464540353</c:v>
                </c:pt>
              </c:numCache>
            </c:numRef>
          </c:val>
          <c:extLst>
            <c:ext xmlns:c16="http://schemas.microsoft.com/office/drawing/2014/chart" uri="{C3380CC4-5D6E-409C-BE32-E72D297353CC}">
              <c16:uniqueId val="{00000001-B335-43EF-AFBC-0FD19F8B93AF}"/>
            </c:ext>
          </c:extLst>
        </c:ser>
        <c:ser>
          <c:idx val="2"/>
          <c:order val="2"/>
          <c:tx>
            <c:strRef>
              <c:f>'Fig 6 OMR ratios 93-2007-2017'!$B$24</c:f>
              <c:strCache>
                <c:ptCount val="1"/>
                <c:pt idx="0">
                  <c:v>2017</c:v>
                </c:pt>
              </c:strCache>
            </c:strRef>
          </c:tx>
          <c:spPr>
            <a:solidFill>
              <a:schemeClr val="accent1"/>
            </a:solidFill>
          </c:spPr>
          <c:invertIfNegative val="0"/>
          <c:errBars>
            <c:errBarType val="both"/>
            <c:errValType val="cust"/>
            <c:noEndCap val="0"/>
            <c:plus>
              <c:numRef>
                <c:f>'Fig 6 OMR ratios 93-2007-2017'!$C$26:$C$37</c:f>
                <c:numCache>
                  <c:formatCode>General</c:formatCode>
                  <c:ptCount val="12"/>
                  <c:pt idx="0">
                    <c:v>3.336747672749067</c:v>
                  </c:pt>
                  <c:pt idx="1">
                    <c:v>1.4318389518272987</c:v>
                  </c:pt>
                  <c:pt idx="2">
                    <c:v>0.9907183792077453</c:v>
                  </c:pt>
                  <c:pt idx="3">
                    <c:v>0.36327191500129541</c:v>
                  </c:pt>
                  <c:pt idx="4">
                    <c:v>0.61522873266250577</c:v>
                  </c:pt>
                  <c:pt idx="5">
                    <c:v>1.6686761276738082</c:v>
                  </c:pt>
                  <c:pt idx="6">
                    <c:v>1.1746489094307724</c:v>
                  </c:pt>
                  <c:pt idx="7">
                    <c:v>0.88831006656556155</c:v>
                  </c:pt>
                  <c:pt idx="8">
                    <c:v>1.0838910546408813</c:v>
                  </c:pt>
                  <c:pt idx="9">
                    <c:v>0.61708526921170748</c:v>
                  </c:pt>
                  <c:pt idx="10">
                    <c:v>1.4658618398403638</c:v>
                  </c:pt>
                  <c:pt idx="11">
                    <c:v>0.25236964237281412</c:v>
                  </c:pt>
                </c:numCache>
              </c:numRef>
            </c:plus>
            <c:minus>
              <c:numRef>
                <c:f>'Fig 6 OMR ratios 93-2007-2017'!$C$26:$C$37</c:f>
                <c:numCache>
                  <c:formatCode>General</c:formatCode>
                  <c:ptCount val="12"/>
                  <c:pt idx="0">
                    <c:v>3.336747672749067</c:v>
                  </c:pt>
                  <c:pt idx="1">
                    <c:v>1.4318389518272987</c:v>
                  </c:pt>
                  <c:pt idx="2">
                    <c:v>0.9907183792077453</c:v>
                  </c:pt>
                  <c:pt idx="3">
                    <c:v>0.36327191500129541</c:v>
                  </c:pt>
                  <c:pt idx="4">
                    <c:v>0.61522873266250577</c:v>
                  </c:pt>
                  <c:pt idx="5">
                    <c:v>1.6686761276738082</c:v>
                  </c:pt>
                  <c:pt idx="6">
                    <c:v>1.1746489094307724</c:v>
                  </c:pt>
                  <c:pt idx="7">
                    <c:v>0.88831006656556155</c:v>
                  </c:pt>
                  <c:pt idx="8">
                    <c:v>1.0838910546408813</c:v>
                  </c:pt>
                  <c:pt idx="9">
                    <c:v>0.61708526921170748</c:v>
                  </c:pt>
                  <c:pt idx="10">
                    <c:v>1.4658618398403638</c:v>
                  </c:pt>
                  <c:pt idx="11">
                    <c:v>0.25236964237281412</c:v>
                  </c:pt>
                </c:numCache>
              </c:numRef>
            </c:minus>
          </c:errBars>
          <c:cat>
            <c:strRef>
              <c:f>'Fig 6 OMR ratios 93-2007-2017'!$A$26:$A$37</c:f>
              <c:strCache>
                <c:ptCount val="12"/>
                <c:pt idx="0">
                  <c:v>1. Putrescibles</c:v>
                </c:pt>
                <c:pt idx="1">
                  <c:v>2. Papiers</c:v>
                </c:pt>
                <c:pt idx="2">
                  <c:v>3. Cartons</c:v>
                </c:pt>
                <c:pt idx="3">
                  <c:v>4. Composites</c:v>
                </c:pt>
                <c:pt idx="4">
                  <c:v>5. Textiles</c:v>
                </c:pt>
                <c:pt idx="5">
                  <c:v>6. Textiles sanitaires</c:v>
                </c:pt>
                <c:pt idx="6">
                  <c:v>7. Plastiques</c:v>
                </c:pt>
                <c:pt idx="7">
                  <c:v>8. Combustibles non classés</c:v>
                </c:pt>
                <c:pt idx="8">
                  <c:v>9. Verre</c:v>
                </c:pt>
                <c:pt idx="9">
                  <c:v>10. Métaux</c:v>
                </c:pt>
                <c:pt idx="10">
                  <c:v>11. Incombustibles non classés</c:v>
                </c:pt>
                <c:pt idx="11">
                  <c:v>12. Déchets dangereux</c:v>
                </c:pt>
              </c:strCache>
            </c:strRef>
          </c:cat>
          <c:val>
            <c:numRef>
              <c:f>'Fig 6 OMR ratios 93-2007-2017'!$B$26:$B$37</c:f>
              <c:numCache>
                <c:formatCode>0</c:formatCode>
                <c:ptCount val="12"/>
                <c:pt idx="0">
                  <c:v>83.11319556679274</c:v>
                </c:pt>
                <c:pt idx="1">
                  <c:v>21.851558099342142</c:v>
                </c:pt>
                <c:pt idx="2">
                  <c:v>16.257918177495313</c:v>
                </c:pt>
                <c:pt idx="3">
                  <c:v>5.9298839022628433</c:v>
                </c:pt>
                <c:pt idx="4">
                  <c:v>7.6916252956628215</c:v>
                </c:pt>
                <c:pt idx="5">
                  <c:v>35.298286079420748</c:v>
                </c:pt>
                <c:pt idx="6">
                  <c:v>37.281821700075724</c:v>
                </c:pt>
                <c:pt idx="7">
                  <c:v>11.595490764325788</c:v>
                </c:pt>
                <c:pt idx="8">
                  <c:v>13.569981937985654</c:v>
                </c:pt>
                <c:pt idx="9">
                  <c:v>8.726121883372608</c:v>
                </c:pt>
                <c:pt idx="10">
                  <c:v>10.822147139457009</c:v>
                </c:pt>
                <c:pt idx="11">
                  <c:v>1.571969453806678</c:v>
                </c:pt>
              </c:numCache>
            </c:numRef>
          </c:val>
          <c:extLst>
            <c:ext xmlns:c16="http://schemas.microsoft.com/office/drawing/2014/chart" uri="{C3380CC4-5D6E-409C-BE32-E72D297353CC}">
              <c16:uniqueId val="{00000002-B335-43EF-AFBC-0FD19F8B93AF}"/>
            </c:ext>
          </c:extLst>
        </c:ser>
        <c:dLbls>
          <c:showLegendKey val="0"/>
          <c:showVal val="0"/>
          <c:showCatName val="0"/>
          <c:showSerName val="0"/>
          <c:showPercent val="0"/>
          <c:showBubbleSize val="0"/>
        </c:dLbls>
        <c:gapWidth val="150"/>
        <c:axId val="119035008"/>
        <c:axId val="119036544"/>
      </c:barChart>
      <c:catAx>
        <c:axId val="119035008"/>
        <c:scaling>
          <c:orientation val="minMax"/>
        </c:scaling>
        <c:delete val="0"/>
        <c:axPos val="b"/>
        <c:numFmt formatCode="General" sourceLinked="0"/>
        <c:majorTickMark val="none"/>
        <c:minorTickMark val="none"/>
        <c:tickLblPos val="nextTo"/>
        <c:crossAx val="119036544"/>
        <c:crosses val="autoZero"/>
        <c:auto val="1"/>
        <c:lblAlgn val="ctr"/>
        <c:lblOffset val="100"/>
        <c:noMultiLvlLbl val="0"/>
      </c:catAx>
      <c:valAx>
        <c:axId val="119036544"/>
        <c:scaling>
          <c:orientation val="minMax"/>
          <c:max val="160"/>
          <c:min val="0"/>
        </c:scaling>
        <c:delete val="0"/>
        <c:axPos val="l"/>
        <c:majorGridlines/>
        <c:title>
          <c:tx>
            <c:rich>
              <a:bodyPr/>
              <a:lstStyle/>
              <a:p>
                <a:pPr>
                  <a:defRPr b="0"/>
                </a:pPr>
                <a:r>
                  <a:rPr lang="fr-FR" b="0"/>
                  <a:t>kg/hab/an</a:t>
                </a:r>
              </a:p>
            </c:rich>
          </c:tx>
          <c:overlay val="0"/>
        </c:title>
        <c:numFmt formatCode="0" sourceLinked="1"/>
        <c:majorTickMark val="out"/>
        <c:minorTickMark val="none"/>
        <c:tickLblPos val="nextTo"/>
        <c:crossAx val="1190350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fr-FR"/>
        </a:p>
      </c:txPr>
    </c:title>
    <c:autoTitleDeleted val="0"/>
    <c:plotArea>
      <c:layout/>
      <c:barChart>
        <c:barDir val="col"/>
        <c:grouping val="clustered"/>
        <c:varyColors val="0"/>
        <c:ser>
          <c:idx val="0"/>
          <c:order val="0"/>
          <c:tx>
            <c:strRef>
              <c:f>'Fig 7 CS emb-pap % ratios'!$B$24</c:f>
              <c:strCache>
                <c:ptCount val="1"/>
                <c:pt idx="0">
                  <c:v>Moyenne 
(%)</c:v>
                </c:pt>
              </c:strCache>
            </c:strRef>
          </c:tx>
          <c:spPr>
            <a:solidFill>
              <a:schemeClr val="accent2"/>
            </a:solidFill>
          </c:spPr>
          <c:invertIfNegative val="0"/>
          <c:cat>
            <c:strRef>
              <c:f>'Fig 7 CS emb-pap % ratios'!$A$25:$A$37</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7 CS emb-pap % ratios'!$B$25:$B$37</c:f>
              <c:numCache>
                <c:formatCode>0.0</c:formatCode>
                <c:ptCount val="13"/>
                <c:pt idx="0">
                  <c:v>1.334037369038654</c:v>
                </c:pt>
                <c:pt idx="1">
                  <c:v>46.052132297641101</c:v>
                </c:pt>
                <c:pt idx="2">
                  <c:v>25.258173293393721</c:v>
                </c:pt>
                <c:pt idx="3">
                  <c:v>2.2660533685641888</c:v>
                </c:pt>
                <c:pt idx="4">
                  <c:v>0.48298341789964261</c:v>
                </c:pt>
                <c:pt idx="5">
                  <c:v>0.7229978911197904</c:v>
                </c:pt>
                <c:pt idx="6">
                  <c:v>15.177915742578399</c:v>
                </c:pt>
                <c:pt idx="7">
                  <c:v>1.227335094355581</c:v>
                </c:pt>
                <c:pt idx="8">
                  <c:v>1.1923051475563371</c:v>
                </c:pt>
                <c:pt idx="9">
                  <c:v>4.7823458518466904</c:v>
                </c:pt>
                <c:pt idx="10">
                  <c:v>0.32443431171592929</c:v>
                </c:pt>
                <c:pt idx="11">
                  <c:v>0.47936277877676281</c:v>
                </c:pt>
                <c:pt idx="12">
                  <c:v>0.69992343551319525</c:v>
                </c:pt>
              </c:numCache>
            </c:numRef>
          </c:val>
          <c:extLst>
            <c:ext xmlns:c16="http://schemas.microsoft.com/office/drawing/2014/chart" uri="{C3380CC4-5D6E-409C-BE32-E72D297353CC}">
              <c16:uniqueId val="{00000000-49B2-42BF-9BD1-64C1B6BBDD8A}"/>
            </c:ext>
          </c:extLst>
        </c:ser>
        <c:dLbls>
          <c:showLegendKey val="0"/>
          <c:showVal val="0"/>
          <c:showCatName val="0"/>
          <c:showSerName val="0"/>
          <c:showPercent val="0"/>
          <c:showBubbleSize val="0"/>
        </c:dLbls>
        <c:gapWidth val="150"/>
        <c:axId val="115292800"/>
        <c:axId val="115306880"/>
      </c:barChart>
      <c:barChart>
        <c:barDir val="col"/>
        <c:grouping val="clustered"/>
        <c:varyColors val="0"/>
        <c:ser>
          <c:idx val="1"/>
          <c:order val="1"/>
          <c:tx>
            <c:strRef>
              <c:f>'Fig 7 CS emb-pap % ratios'!$D$24</c:f>
              <c:strCache>
                <c:ptCount val="1"/>
                <c:pt idx="0">
                  <c:v>Ratios
 (kg/hab/an)</c:v>
                </c:pt>
              </c:strCache>
            </c:strRef>
          </c:tx>
          <c:spPr>
            <a:solidFill>
              <a:schemeClr val="accent2"/>
            </a:solidFill>
          </c:spPr>
          <c:invertIfNegative val="0"/>
          <c:errBars>
            <c:errBarType val="both"/>
            <c:errValType val="cust"/>
            <c:noEndCap val="0"/>
            <c:plus>
              <c:numRef>
                <c:f>'Fig 7 CS emb-pap % ratios'!$E$25:$E$37</c:f>
                <c:numCache>
                  <c:formatCode>General</c:formatCode>
                  <c:ptCount val="13"/>
                  <c:pt idx="0">
                    <c:v>0.15476449327111116</c:v>
                  </c:pt>
                  <c:pt idx="1">
                    <c:v>1.1920142377566212</c:v>
                  </c:pt>
                  <c:pt idx="2">
                    <c:v>1.0737324549802536</c:v>
                  </c:pt>
                  <c:pt idx="3">
                    <c:v>9.7193966175738097E-2</c:v>
                  </c:pt>
                  <c:pt idx="4">
                    <c:v>6.5238543337585123E-2</c:v>
                  </c:pt>
                  <c:pt idx="5">
                    <c:v>5.7607368316556933E-2</c:v>
                  </c:pt>
                  <c:pt idx="6">
                    <c:v>0.53068659769185833</c:v>
                  </c:pt>
                  <c:pt idx="7">
                    <c:v>0.13274453102885742</c:v>
                  </c:pt>
                  <c:pt idx="8">
                    <c:v>0.11791569691328983</c:v>
                  </c:pt>
                  <c:pt idx="9">
                    <c:v>0.23516009312879371</c:v>
                  </c:pt>
                  <c:pt idx="10">
                    <c:v>4.4944472981677343E-2</c:v>
                  </c:pt>
                  <c:pt idx="11">
                    <c:v>5.2118184811501468E-2</c:v>
                  </c:pt>
                  <c:pt idx="12">
                    <c:v>8.1136297257406759E-2</c:v>
                  </c:pt>
                </c:numCache>
              </c:numRef>
            </c:plus>
            <c:minus>
              <c:numRef>
                <c:f>'Fig 7 CS emb-pap % ratios'!$E$25:$E$37</c:f>
                <c:numCache>
                  <c:formatCode>General</c:formatCode>
                  <c:ptCount val="13"/>
                  <c:pt idx="0">
                    <c:v>0.15476449327111116</c:v>
                  </c:pt>
                  <c:pt idx="1">
                    <c:v>1.1920142377566212</c:v>
                  </c:pt>
                  <c:pt idx="2">
                    <c:v>1.0737324549802536</c:v>
                  </c:pt>
                  <c:pt idx="3">
                    <c:v>9.7193966175738097E-2</c:v>
                  </c:pt>
                  <c:pt idx="4">
                    <c:v>6.5238543337585123E-2</c:v>
                  </c:pt>
                  <c:pt idx="5">
                    <c:v>5.7607368316556933E-2</c:v>
                  </c:pt>
                  <c:pt idx="6">
                    <c:v>0.53068659769185833</c:v>
                  </c:pt>
                  <c:pt idx="7">
                    <c:v>0.13274453102885742</c:v>
                  </c:pt>
                  <c:pt idx="8">
                    <c:v>0.11791569691328983</c:v>
                  </c:pt>
                  <c:pt idx="9">
                    <c:v>0.23516009312879371</c:v>
                  </c:pt>
                  <c:pt idx="10">
                    <c:v>4.4944472981677343E-2</c:v>
                  </c:pt>
                  <c:pt idx="11">
                    <c:v>5.2118184811501468E-2</c:v>
                  </c:pt>
                  <c:pt idx="12">
                    <c:v>8.1136297257406759E-2</c:v>
                  </c:pt>
                </c:numCache>
              </c:numRef>
            </c:minus>
          </c:errBars>
          <c:cat>
            <c:strRef>
              <c:f>'Fig 7 CS emb-pap % ratios'!$A$25:$A$37</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7 CS emb-pap % ratios'!$D$25:$D$37</c:f>
              <c:numCache>
                <c:formatCode>#\ ##0.0</c:formatCode>
                <c:ptCount val="13"/>
                <c:pt idx="0">
                  <c:v>0.66081546115135481</c:v>
                </c:pt>
                <c:pt idx="1">
                  <c:v>22.811925473421375</c:v>
                </c:pt>
                <c:pt idx="2">
                  <c:v>12.511637095100879</c:v>
                </c:pt>
                <c:pt idx="3">
                  <c:v>1.1224896217265834</c:v>
                </c:pt>
                <c:pt idx="4">
                  <c:v>0.23924585430302289</c:v>
                </c:pt>
                <c:pt idx="5">
                  <c:v>0.35813703268003272</c:v>
                </c:pt>
                <c:pt idx="6">
                  <c:v>7.5183811364865418</c:v>
                </c:pt>
                <c:pt idx="7">
                  <c:v>0.60796048535603253</c:v>
                </c:pt>
                <c:pt idx="8">
                  <c:v>0.59060839988564484</c:v>
                </c:pt>
                <c:pt idx="9">
                  <c:v>2.3689351983825651</c:v>
                </c:pt>
                <c:pt idx="10">
                  <c:v>0.16070854856515804</c:v>
                </c:pt>
                <c:pt idx="11">
                  <c:v>0.23745237057672172</c:v>
                </c:pt>
                <c:pt idx="12">
                  <c:v>0.34670710022358525</c:v>
                </c:pt>
              </c:numCache>
            </c:numRef>
          </c:val>
          <c:extLst>
            <c:ext xmlns:c16="http://schemas.microsoft.com/office/drawing/2014/chart" uri="{C3380CC4-5D6E-409C-BE32-E72D297353CC}">
              <c16:uniqueId val="{00000001-49B2-42BF-9BD1-64C1B6BBDD8A}"/>
            </c:ext>
          </c:extLst>
        </c:ser>
        <c:dLbls>
          <c:showLegendKey val="0"/>
          <c:showVal val="0"/>
          <c:showCatName val="0"/>
          <c:showSerName val="0"/>
          <c:showPercent val="0"/>
          <c:showBubbleSize val="0"/>
        </c:dLbls>
        <c:gapWidth val="150"/>
        <c:axId val="115318784"/>
        <c:axId val="115308800"/>
      </c:barChart>
      <c:catAx>
        <c:axId val="115292800"/>
        <c:scaling>
          <c:orientation val="minMax"/>
        </c:scaling>
        <c:delete val="0"/>
        <c:axPos val="b"/>
        <c:numFmt formatCode="General" sourceLinked="0"/>
        <c:majorTickMark val="none"/>
        <c:minorTickMark val="none"/>
        <c:tickLblPos val="nextTo"/>
        <c:txPr>
          <a:bodyPr/>
          <a:lstStyle/>
          <a:p>
            <a:pPr>
              <a:defRPr sz="900"/>
            </a:pPr>
            <a:endParaRPr lang="fr-FR"/>
          </a:p>
        </c:txPr>
        <c:crossAx val="115306880"/>
        <c:crosses val="autoZero"/>
        <c:auto val="1"/>
        <c:lblAlgn val="ctr"/>
        <c:lblOffset val="100"/>
        <c:noMultiLvlLbl val="0"/>
      </c:catAx>
      <c:valAx>
        <c:axId val="115306880"/>
        <c:scaling>
          <c:orientation val="minMax"/>
        </c:scaling>
        <c:delete val="0"/>
        <c:axPos val="l"/>
        <c:majorGridlines/>
        <c:title>
          <c:tx>
            <c:rich>
              <a:bodyPr rot="0" vert="horz"/>
              <a:lstStyle/>
              <a:p>
                <a:pPr>
                  <a:defRPr b="0"/>
                </a:pPr>
                <a:r>
                  <a:rPr lang="fr-FR" b="0"/>
                  <a:t>%</a:t>
                </a:r>
              </a:p>
            </c:rich>
          </c:tx>
          <c:layout>
            <c:manualLayout>
              <c:xMode val="edge"/>
              <c:yMode val="edge"/>
              <c:x val="7.3322419738824279E-2"/>
              <c:y val="4.8179156472735671E-2"/>
            </c:manualLayout>
          </c:layout>
          <c:overlay val="0"/>
        </c:title>
        <c:numFmt formatCode="0.0" sourceLinked="1"/>
        <c:majorTickMark val="out"/>
        <c:minorTickMark val="none"/>
        <c:tickLblPos val="nextTo"/>
        <c:txPr>
          <a:bodyPr/>
          <a:lstStyle/>
          <a:p>
            <a:pPr>
              <a:defRPr sz="900"/>
            </a:pPr>
            <a:endParaRPr lang="fr-FR"/>
          </a:p>
        </c:txPr>
        <c:crossAx val="115292800"/>
        <c:crosses val="autoZero"/>
        <c:crossBetween val="between"/>
      </c:valAx>
      <c:valAx>
        <c:axId val="115308800"/>
        <c:scaling>
          <c:orientation val="minMax"/>
          <c:max val="25"/>
        </c:scaling>
        <c:delete val="0"/>
        <c:axPos val="r"/>
        <c:minorGridlines>
          <c:spPr>
            <a:ln>
              <a:noFill/>
            </a:ln>
          </c:spPr>
        </c:minorGridlines>
        <c:numFmt formatCode="#\ ##0.0" sourceLinked="1"/>
        <c:majorTickMark val="out"/>
        <c:minorTickMark val="none"/>
        <c:tickLblPos val="nextTo"/>
        <c:txPr>
          <a:bodyPr/>
          <a:lstStyle/>
          <a:p>
            <a:pPr>
              <a:defRPr sz="900"/>
            </a:pPr>
            <a:endParaRPr lang="fr-FR"/>
          </a:p>
        </c:txPr>
        <c:crossAx val="115318784"/>
        <c:crosses val="max"/>
        <c:crossBetween val="between"/>
      </c:valAx>
      <c:catAx>
        <c:axId val="115318784"/>
        <c:scaling>
          <c:orientation val="minMax"/>
        </c:scaling>
        <c:delete val="1"/>
        <c:axPos val="b"/>
        <c:numFmt formatCode="General" sourceLinked="1"/>
        <c:majorTickMark val="out"/>
        <c:minorTickMark val="none"/>
        <c:tickLblPos val="nextTo"/>
        <c:crossAx val="115308800"/>
        <c:crosses val="autoZero"/>
        <c:auto val="1"/>
        <c:lblAlgn val="ctr"/>
        <c:lblOffset val="100"/>
        <c:noMultiLvlLbl val="0"/>
      </c:catAx>
    </c:plotArea>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Composition</a:t>
            </a:r>
            <a:r>
              <a:rPr lang="fr-FR" baseline="0"/>
              <a:t> des RSOM en catégories (8/20 reventilés)</a:t>
            </a:r>
          </a:p>
        </c:rich>
      </c:tx>
      <c:overlay val="0"/>
      <c:spPr>
        <a:noFill/>
        <a:ln>
          <a:noFill/>
        </a:ln>
        <a:effectLst/>
      </c:spPr>
    </c:title>
    <c:autoTitleDeleted val="0"/>
    <c:plotArea>
      <c:layout>
        <c:manualLayout>
          <c:layoutTarget val="inner"/>
          <c:xMode val="edge"/>
          <c:yMode val="edge"/>
          <c:x val="0.35848442324831603"/>
          <c:y val="0.24241674170290764"/>
          <c:w val="0.28915438424526479"/>
          <c:h val="0.61278208837034054"/>
        </c:manualLayout>
      </c:layout>
      <c:pieChart>
        <c:varyColors val="1"/>
        <c:ser>
          <c:idx val="0"/>
          <c:order val="0"/>
          <c:tx>
            <c:strRef>
              <c:f>'Fig 8 CS emb-pap %'!$B$2</c:f>
              <c:strCache>
                <c:ptCount val="1"/>
                <c:pt idx="0">
                  <c:v>MOYENNE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0F1-4552-A0C9-44B15A0747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70F1-4552-A0C9-44B15A0747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7A-4A42-AD31-FB4F8C3E9A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70F1-4552-A0C9-44B15A07478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70F1-4552-A0C9-44B15A07478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4-70F1-4552-A0C9-44B15A07478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70F1-4552-A0C9-44B15A07478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70F1-4552-A0C9-44B15A07478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70F1-4552-A0C9-44B15A07478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70F1-4552-A0C9-44B15A07478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8-70F1-4552-A0C9-44B15A07478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A-70F1-4552-A0C9-44B15A074788}"/>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2-70F1-4552-A0C9-44B15A074788}"/>
              </c:ext>
            </c:extLst>
          </c:dPt>
          <c:dLbls>
            <c:dLbl>
              <c:idx val="0"/>
              <c:layout>
                <c:manualLayout>
                  <c:x val="1.9900499911164885E-2"/>
                  <c:y val="-5.839416058394161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0F1-4552-A0C9-44B15A074788}"/>
                </c:ext>
              </c:extLst>
            </c:dLbl>
            <c:dLbl>
              <c:idx val="1"/>
              <c:layout>
                <c:manualLayout>
                  <c:x val="4.9200492004919931E-2"/>
                  <c:y val="0.2174688057040998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0F1-4552-A0C9-44B15A074788}"/>
                </c:ext>
              </c:extLst>
            </c:dLbl>
            <c:dLbl>
              <c:idx val="3"/>
              <c:layout>
                <c:manualLayout>
                  <c:x val="-2.1320213202132021E-2"/>
                  <c:y val="0.178253119429589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0F1-4552-A0C9-44B15A074788}"/>
                </c:ext>
              </c:extLst>
            </c:dLbl>
            <c:dLbl>
              <c:idx val="4"/>
              <c:layout>
                <c:manualLayout>
                  <c:x val="-7.8720787207872109E-2"/>
                  <c:y val="4.63458110516933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0F1-4552-A0C9-44B15A074788}"/>
                </c:ext>
              </c:extLst>
            </c:dLbl>
            <c:dLbl>
              <c:idx val="5"/>
              <c:layout>
                <c:manualLayout>
                  <c:x val="-9.1840918409184111E-2"/>
                  <c:y val="-0.131907308377896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0F1-4552-A0C9-44B15A074788}"/>
                </c:ext>
              </c:extLst>
            </c:dLbl>
            <c:dLbl>
              <c:idx val="6"/>
              <c:layout>
                <c:manualLayout>
                  <c:x val="-3.2800328003280031E-3"/>
                  <c:y val="5.34759358288769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0F1-4552-A0C9-44B15A074788}"/>
                </c:ext>
              </c:extLst>
            </c:dLbl>
            <c:dLbl>
              <c:idx val="7"/>
              <c:layout>
                <c:manualLayout>
                  <c:x val="-0.20828208282082822"/>
                  <c:y val="3.20855614973262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0F1-4552-A0C9-44B15A074788}"/>
                </c:ext>
              </c:extLst>
            </c:dLbl>
            <c:dLbl>
              <c:idx val="8"/>
              <c:layout>
                <c:manualLayout>
                  <c:x val="-0.11316113161131615"/>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0F1-4552-A0C9-44B15A074788}"/>
                </c:ext>
              </c:extLst>
            </c:dLbl>
            <c:dLbl>
              <c:idx val="9"/>
              <c:layout>
                <c:manualLayout>
                  <c:x val="-5.2152930339571718E-2"/>
                  <c:y val="-7.16914765216391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0F1-4552-A0C9-44B15A074788}"/>
                </c:ext>
              </c:extLst>
            </c:dLbl>
            <c:dLbl>
              <c:idx val="10"/>
              <c:layout>
                <c:manualLayout>
                  <c:x val="-0.29585630850668626"/>
                  <c:y val="-8.171018768639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0F1-4552-A0C9-44B15A074788}"/>
                </c:ext>
              </c:extLst>
            </c:dLbl>
            <c:dLbl>
              <c:idx val="11"/>
              <c:layout>
                <c:manualLayout>
                  <c:x val="0.35424354243542433"/>
                  <c:y val="-2.85204991087344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0F1-4552-A0C9-44B15A074788}"/>
                </c:ext>
              </c:extLst>
            </c:dLbl>
            <c:dLbl>
              <c:idx val="12"/>
              <c:layout>
                <c:manualLayout>
                  <c:x val="0.18860188601886019"/>
                  <c:y val="7.48663101604278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0F1-4552-A0C9-44B15A07478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mn-lt"/>
                    <a:ea typeface="+mn-ea"/>
                    <a:cs typeface="+mn-cs"/>
                  </a:defRPr>
                </a:pPr>
                <a:endParaRPr lang="fr-F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'Fig 8 CS emb-pap %'!$A$3:$A$15</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8 CS emb-pap %'!$B$3:$B$15</c:f>
              <c:numCache>
                <c:formatCode>0.0</c:formatCode>
                <c:ptCount val="13"/>
                <c:pt idx="0">
                  <c:v>1.334037369038654</c:v>
                </c:pt>
                <c:pt idx="1">
                  <c:v>46.052132297641101</c:v>
                </c:pt>
                <c:pt idx="2">
                  <c:v>25.258173293393721</c:v>
                </c:pt>
                <c:pt idx="3">
                  <c:v>2.2660533685641888</c:v>
                </c:pt>
                <c:pt idx="4">
                  <c:v>0.48298341789964261</c:v>
                </c:pt>
                <c:pt idx="5">
                  <c:v>0.7229978911197904</c:v>
                </c:pt>
                <c:pt idx="6">
                  <c:v>15.177915742578399</c:v>
                </c:pt>
                <c:pt idx="7">
                  <c:v>1.227335094355581</c:v>
                </c:pt>
                <c:pt idx="8">
                  <c:v>1.1923051475563371</c:v>
                </c:pt>
                <c:pt idx="9">
                  <c:v>4.7823458518466904</c:v>
                </c:pt>
                <c:pt idx="10">
                  <c:v>0.32443431171592929</c:v>
                </c:pt>
                <c:pt idx="11">
                  <c:v>0.47936277877676281</c:v>
                </c:pt>
                <c:pt idx="12">
                  <c:v>0.69992343551319525</c:v>
                </c:pt>
              </c:numCache>
            </c:numRef>
          </c:val>
          <c:extLst>
            <c:ext xmlns:c16="http://schemas.microsoft.com/office/drawing/2014/chart" uri="{C3380CC4-5D6E-409C-BE32-E72D297353CC}">
              <c16:uniqueId val="{00000000-70F1-4552-A0C9-44B15A07478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9 emb + verre-pap 2007-2017'!$B$3:$E$3</c:f>
              <c:strCache>
                <c:ptCount val="1"/>
                <c:pt idx="0">
                  <c:v>2007</c:v>
                </c:pt>
              </c:strCache>
            </c:strRef>
          </c:tx>
          <c:invertIfNegative val="0"/>
          <c:errBars>
            <c:errBarType val="both"/>
            <c:errValType val="cust"/>
            <c:noEndCap val="0"/>
            <c:plus>
              <c:numRef>
                <c:f>'Fig 9 emb + verre-pap 2007-2017'!$C$5:$C$17</c:f>
                <c:numCache>
                  <c:formatCode>General</c:formatCode>
                  <c:ptCount val="13"/>
                  <c:pt idx="0">
                    <c:v>0.1</c:v>
                  </c:pt>
                  <c:pt idx="1">
                    <c:v>4.3</c:v>
                  </c:pt>
                  <c:pt idx="2">
                    <c:v>2.2999999999999998</c:v>
                  </c:pt>
                  <c:pt idx="3">
                    <c:v>0.3</c:v>
                  </c:pt>
                  <c:pt idx="4">
                    <c:v>0.02</c:v>
                  </c:pt>
                  <c:pt idx="5">
                    <c:v>0.02</c:v>
                  </c:pt>
                  <c:pt idx="6">
                    <c:v>0.7</c:v>
                  </c:pt>
                  <c:pt idx="7">
                    <c:v>0.02</c:v>
                  </c:pt>
                  <c:pt idx="8">
                    <c:v>2.7</c:v>
                  </c:pt>
                  <c:pt idx="9">
                    <c:v>0.3</c:v>
                  </c:pt>
                  <c:pt idx="10">
                    <c:v>0.03</c:v>
                  </c:pt>
                  <c:pt idx="11">
                    <c:v>0.04</c:v>
                  </c:pt>
                  <c:pt idx="12">
                    <c:v>0.1</c:v>
                  </c:pt>
                </c:numCache>
              </c:numRef>
            </c:plus>
            <c:minus>
              <c:numRef>
                <c:f>'Fig 9 emb + verre-pap 2007-2017'!$C$5:$C$17</c:f>
                <c:numCache>
                  <c:formatCode>General</c:formatCode>
                  <c:ptCount val="13"/>
                  <c:pt idx="0">
                    <c:v>0.1</c:v>
                  </c:pt>
                  <c:pt idx="1">
                    <c:v>4.3</c:v>
                  </c:pt>
                  <c:pt idx="2">
                    <c:v>2.2999999999999998</c:v>
                  </c:pt>
                  <c:pt idx="3">
                    <c:v>0.3</c:v>
                  </c:pt>
                  <c:pt idx="4">
                    <c:v>0.02</c:v>
                  </c:pt>
                  <c:pt idx="5">
                    <c:v>0.02</c:v>
                  </c:pt>
                  <c:pt idx="6">
                    <c:v>0.7</c:v>
                  </c:pt>
                  <c:pt idx="7">
                    <c:v>0.02</c:v>
                  </c:pt>
                  <c:pt idx="8">
                    <c:v>2.7</c:v>
                  </c:pt>
                  <c:pt idx="9">
                    <c:v>0.3</c:v>
                  </c:pt>
                  <c:pt idx="10">
                    <c:v>0.03</c:v>
                  </c:pt>
                  <c:pt idx="11">
                    <c:v>0.04</c:v>
                  </c:pt>
                  <c:pt idx="12">
                    <c:v>0.1</c:v>
                  </c:pt>
                </c:numCache>
              </c:numRef>
            </c:minus>
          </c:errBars>
          <c:cat>
            <c:strRef>
              <c:f>'Fig 9 emb + verre-pap 2007-2017'!$A$5:$A$17</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9 emb + verre-pap 2007-2017'!$B$5:$B$17</c:f>
              <c:numCache>
                <c:formatCode>0.0</c:formatCode>
                <c:ptCount val="13"/>
                <c:pt idx="0" formatCode="0.00">
                  <c:v>0.31</c:v>
                </c:pt>
                <c:pt idx="1">
                  <c:v>23.91</c:v>
                </c:pt>
                <c:pt idx="2">
                  <c:v>8.75</c:v>
                </c:pt>
                <c:pt idx="3">
                  <c:v>1.1599999999999999</c:v>
                </c:pt>
                <c:pt idx="4">
                  <c:v>0.11</c:v>
                </c:pt>
                <c:pt idx="5">
                  <c:v>0.2</c:v>
                </c:pt>
                <c:pt idx="6">
                  <c:v>6.83</c:v>
                </c:pt>
                <c:pt idx="7">
                  <c:v>0.19</c:v>
                </c:pt>
                <c:pt idx="8">
                  <c:v>28.81</c:v>
                </c:pt>
                <c:pt idx="9">
                  <c:v>2.46</c:v>
                </c:pt>
                <c:pt idx="10">
                  <c:v>0.18</c:v>
                </c:pt>
                <c:pt idx="11">
                  <c:v>0.19</c:v>
                </c:pt>
                <c:pt idx="12">
                  <c:v>1.06</c:v>
                </c:pt>
              </c:numCache>
            </c:numRef>
          </c:val>
          <c:extLst>
            <c:ext xmlns:c16="http://schemas.microsoft.com/office/drawing/2014/chart" uri="{C3380CC4-5D6E-409C-BE32-E72D297353CC}">
              <c16:uniqueId val="{00000000-C0D4-43CF-A557-ACBAA2520BC5}"/>
            </c:ext>
          </c:extLst>
        </c:ser>
        <c:ser>
          <c:idx val="1"/>
          <c:order val="1"/>
          <c:tx>
            <c:strRef>
              <c:f>'Fig 9 emb + verre-pap 2007-2017'!$F$3:$I$3</c:f>
              <c:strCache>
                <c:ptCount val="1"/>
                <c:pt idx="0">
                  <c:v>2017</c:v>
                </c:pt>
              </c:strCache>
            </c:strRef>
          </c:tx>
          <c:invertIfNegative val="0"/>
          <c:errBars>
            <c:errBarType val="both"/>
            <c:errValType val="cust"/>
            <c:noEndCap val="0"/>
            <c:plus>
              <c:numRef>
                <c:f>'Fig 9 emb + verre-pap 2007-2017'!$G$5:$G$17</c:f>
                <c:numCache>
                  <c:formatCode>General</c:formatCode>
                  <c:ptCount val="13"/>
                  <c:pt idx="0">
                    <c:v>0.25993488672264276</c:v>
                  </c:pt>
                  <c:pt idx="1">
                    <c:v>1.934337435037653</c:v>
                  </c:pt>
                  <c:pt idx="2">
                    <c:v>1.7406915810488566</c:v>
                  </c:pt>
                  <c:pt idx="3">
                    <c:v>0.15753842935256893</c:v>
                  </c:pt>
                  <c:pt idx="4">
                    <c:v>0.10570577918910763</c:v>
                  </c:pt>
                  <c:pt idx="5">
                    <c:v>9.3317315113656693E-2</c:v>
                  </c:pt>
                  <c:pt idx="6">
                    <c:v>0.86149564618517493</c:v>
                  </c:pt>
                  <c:pt idx="7">
                    <c:v>0.21580109197020531</c:v>
                  </c:pt>
                  <c:pt idx="8">
                    <c:v>0.22350775954976113</c:v>
                  </c:pt>
                  <c:pt idx="9">
                    <c:v>0.38430146899908429</c:v>
                  </c:pt>
                  <c:pt idx="10">
                    <c:v>7.9380459527213273E-2</c:v>
                  </c:pt>
                  <c:pt idx="11">
                    <c:v>8.7220604629721463E-2</c:v>
                  </c:pt>
                  <c:pt idx="12">
                    <c:v>0.1602939755353614</c:v>
                  </c:pt>
                </c:numCache>
              </c:numRef>
            </c:plus>
            <c:minus>
              <c:numRef>
                <c:f>'Fig 9 emb + verre-pap 2007-2017'!$G$5:$G$17</c:f>
                <c:numCache>
                  <c:formatCode>General</c:formatCode>
                  <c:ptCount val="13"/>
                  <c:pt idx="0">
                    <c:v>0.25993488672264276</c:v>
                  </c:pt>
                  <c:pt idx="1">
                    <c:v>1.934337435037653</c:v>
                  </c:pt>
                  <c:pt idx="2">
                    <c:v>1.7406915810488566</c:v>
                  </c:pt>
                  <c:pt idx="3">
                    <c:v>0.15753842935256893</c:v>
                  </c:pt>
                  <c:pt idx="4">
                    <c:v>0.10570577918910763</c:v>
                  </c:pt>
                  <c:pt idx="5">
                    <c:v>9.3317315113656693E-2</c:v>
                  </c:pt>
                  <c:pt idx="6">
                    <c:v>0.86149564618517493</c:v>
                  </c:pt>
                  <c:pt idx="7">
                    <c:v>0.21580109197020531</c:v>
                  </c:pt>
                  <c:pt idx="8">
                    <c:v>0.22350775954976113</c:v>
                  </c:pt>
                  <c:pt idx="9">
                    <c:v>0.38430146899908429</c:v>
                  </c:pt>
                  <c:pt idx="10">
                    <c:v>7.9380459527213273E-2</c:v>
                  </c:pt>
                  <c:pt idx="11">
                    <c:v>8.7220604629721463E-2</c:v>
                  </c:pt>
                  <c:pt idx="12">
                    <c:v>0.1602939755353614</c:v>
                  </c:pt>
                </c:numCache>
              </c:numRef>
            </c:minus>
          </c:errBars>
          <c:cat>
            <c:strRef>
              <c:f>'Fig 9 emb + verre-pap 2007-2017'!$A$5:$A$17</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9 emb + verre-pap 2007-2017'!$F$5:$F$17</c:f>
              <c:numCache>
                <c:formatCode>0.0</c:formatCode>
                <c:ptCount val="13"/>
                <c:pt idx="0">
                  <c:v>0.76599582330270199</c:v>
                </c:pt>
                <c:pt idx="1">
                  <c:v>22.857874072590057</c:v>
                </c:pt>
                <c:pt idx="2">
                  <c:v>12.557187446056611</c:v>
                </c:pt>
                <c:pt idx="3">
                  <c:v>1.1258061243557433</c:v>
                </c:pt>
                <c:pt idx="4">
                  <c:v>0.24014191472624066</c:v>
                </c:pt>
                <c:pt idx="5">
                  <c:v>0.35952156674396146</c:v>
                </c:pt>
                <c:pt idx="6">
                  <c:v>7.5942101291618469</c:v>
                </c:pt>
                <c:pt idx="7">
                  <c:v>0.61927669414878572</c:v>
                </c:pt>
                <c:pt idx="8">
                  <c:v>30.096915579568346</c:v>
                </c:pt>
                <c:pt idx="9">
                  <c:v>2.4612464882183702</c:v>
                </c:pt>
                <c:pt idx="10">
                  <c:v>0.28572173201782008</c:v>
                </c:pt>
                <c:pt idx="11">
                  <c:v>0.2597126561630948</c:v>
                </c:pt>
                <c:pt idx="12">
                  <c:v>0.94182369117580245</c:v>
                </c:pt>
              </c:numCache>
            </c:numRef>
          </c:val>
          <c:extLst>
            <c:ext xmlns:c16="http://schemas.microsoft.com/office/drawing/2014/chart" uri="{C3380CC4-5D6E-409C-BE32-E72D297353CC}">
              <c16:uniqueId val="{00000001-C0D4-43CF-A557-ACBAA2520BC5}"/>
            </c:ext>
          </c:extLst>
        </c:ser>
        <c:dLbls>
          <c:showLegendKey val="0"/>
          <c:showVal val="0"/>
          <c:showCatName val="0"/>
          <c:showSerName val="0"/>
          <c:showPercent val="0"/>
          <c:showBubbleSize val="0"/>
        </c:dLbls>
        <c:gapWidth val="150"/>
        <c:axId val="119194752"/>
        <c:axId val="119196288"/>
      </c:barChart>
      <c:catAx>
        <c:axId val="119194752"/>
        <c:scaling>
          <c:orientation val="minMax"/>
        </c:scaling>
        <c:delete val="0"/>
        <c:axPos val="b"/>
        <c:numFmt formatCode="General" sourceLinked="0"/>
        <c:majorTickMark val="none"/>
        <c:minorTickMark val="none"/>
        <c:tickLblPos val="nextTo"/>
        <c:crossAx val="119196288"/>
        <c:crosses val="autoZero"/>
        <c:auto val="1"/>
        <c:lblAlgn val="ctr"/>
        <c:lblOffset val="100"/>
        <c:noMultiLvlLbl val="0"/>
      </c:catAx>
      <c:valAx>
        <c:axId val="119196288"/>
        <c:scaling>
          <c:orientation val="minMax"/>
        </c:scaling>
        <c:delete val="0"/>
        <c:axPos val="l"/>
        <c:majorGridlines/>
        <c:title>
          <c:tx>
            <c:rich>
              <a:bodyPr/>
              <a:lstStyle/>
              <a:p>
                <a:pPr>
                  <a:defRPr/>
                </a:pPr>
                <a:r>
                  <a:rPr lang="fr-FR"/>
                  <a:t>kg/hab/an</a:t>
                </a:r>
              </a:p>
            </c:rich>
          </c:tx>
          <c:overlay val="0"/>
        </c:title>
        <c:numFmt formatCode="0.00" sourceLinked="1"/>
        <c:majorTickMark val="out"/>
        <c:minorTickMark val="none"/>
        <c:tickLblPos val="nextTo"/>
        <c:crossAx val="1191947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8187594971681"/>
          <c:y val="9.6982736676908168E-2"/>
          <c:w val="0.56641619797525311"/>
          <c:h val="0.81178165178259309"/>
        </c:manualLayout>
      </c:layout>
      <c:pieChart>
        <c:varyColors val="1"/>
        <c:ser>
          <c:idx val="0"/>
          <c:order val="0"/>
          <c:tx>
            <c:strRef>
              <c:f>'Fig 10 CS biodéchets (%)'!$B$4</c:f>
              <c:strCache>
                <c:ptCount val="1"/>
                <c:pt idx="0">
                  <c:v>Moyenne</c:v>
                </c:pt>
              </c:strCache>
            </c:strRef>
          </c:tx>
          <c:dLbls>
            <c:dLbl>
              <c:idx val="0"/>
              <c:layout>
                <c:manualLayout>
                  <c:x val="0.10633789197402956"/>
                  <c:y val="-0.143819996420491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B5-48A4-95E6-3FAD5608F6BC}"/>
                </c:ext>
              </c:extLst>
            </c:dLbl>
            <c:dLbl>
              <c:idx val="1"/>
              <c:layout>
                <c:manualLayout>
                  <c:x val="-0.14398484399976319"/>
                  <c:y val="0.160480097637773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B5-48A4-95E6-3FAD5608F6BC}"/>
                </c:ext>
              </c:extLst>
            </c:dLbl>
            <c:dLbl>
              <c:idx val="2"/>
              <c:delete val="1"/>
              <c:extLst>
                <c:ext xmlns:c15="http://schemas.microsoft.com/office/drawing/2012/chart" uri="{CE6537A1-D6FC-4f65-9D91-7224C49458BB}"/>
                <c:ext xmlns:c16="http://schemas.microsoft.com/office/drawing/2014/chart" uri="{C3380CC4-5D6E-409C-BE32-E72D297353CC}">
                  <c16:uniqueId val="{00000002-0DB5-48A4-95E6-3FAD5608F6BC}"/>
                </c:ext>
              </c:extLst>
            </c:dLbl>
            <c:dLbl>
              <c:idx val="3"/>
              <c:delete val="1"/>
              <c:extLst>
                <c:ext xmlns:c15="http://schemas.microsoft.com/office/drawing/2012/chart" uri="{CE6537A1-D6FC-4f65-9D91-7224C49458BB}"/>
                <c:ext xmlns:c16="http://schemas.microsoft.com/office/drawing/2014/chart" uri="{C3380CC4-5D6E-409C-BE32-E72D297353CC}">
                  <c16:uniqueId val="{00000003-0DB5-48A4-95E6-3FAD5608F6BC}"/>
                </c:ext>
              </c:extLst>
            </c:dLbl>
            <c:dLbl>
              <c:idx val="4"/>
              <c:delete val="1"/>
              <c:extLst>
                <c:ext xmlns:c15="http://schemas.microsoft.com/office/drawing/2012/chart" uri="{CE6537A1-D6FC-4f65-9D91-7224C49458BB}"/>
                <c:ext xmlns:c16="http://schemas.microsoft.com/office/drawing/2014/chart" uri="{C3380CC4-5D6E-409C-BE32-E72D297353CC}">
                  <c16:uniqueId val="{00000004-0DB5-48A4-95E6-3FAD5608F6BC}"/>
                </c:ext>
              </c:extLst>
            </c:dLbl>
            <c:dLbl>
              <c:idx val="5"/>
              <c:layout>
                <c:manualLayout>
                  <c:x val="-0.12174814990231485"/>
                  <c:y val="0.141183559330355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B5-48A4-95E6-3FAD5608F6BC}"/>
                </c:ext>
              </c:extLst>
            </c:dLbl>
            <c:dLbl>
              <c:idx val="6"/>
              <c:layout>
                <c:manualLayout>
                  <c:x val="-0.19685181457580961"/>
                  <c:y val="9.58636311286923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B5-48A4-95E6-3FAD5608F6BC}"/>
                </c:ext>
              </c:extLst>
            </c:dLbl>
            <c:dLbl>
              <c:idx val="7"/>
              <c:delete val="1"/>
              <c:extLst>
                <c:ext xmlns:c15="http://schemas.microsoft.com/office/drawing/2012/chart" uri="{CE6537A1-D6FC-4f65-9D91-7224C49458BB}"/>
                <c:ext xmlns:c16="http://schemas.microsoft.com/office/drawing/2014/chart" uri="{C3380CC4-5D6E-409C-BE32-E72D297353CC}">
                  <c16:uniqueId val="{00000007-0DB5-48A4-95E6-3FAD5608F6BC}"/>
                </c:ext>
              </c:extLst>
            </c:dLbl>
            <c:dLbl>
              <c:idx val="8"/>
              <c:delete val="1"/>
              <c:extLst>
                <c:ext xmlns:c15="http://schemas.microsoft.com/office/drawing/2012/chart" uri="{CE6537A1-D6FC-4f65-9D91-7224C49458BB}"/>
                <c:ext xmlns:c16="http://schemas.microsoft.com/office/drawing/2014/chart" uri="{C3380CC4-5D6E-409C-BE32-E72D297353CC}">
                  <c16:uniqueId val="{00000008-0DB5-48A4-95E6-3FAD5608F6BC}"/>
                </c:ext>
              </c:extLst>
            </c:dLbl>
            <c:dLbl>
              <c:idx val="9"/>
              <c:delete val="1"/>
              <c:extLst>
                <c:ext xmlns:c15="http://schemas.microsoft.com/office/drawing/2012/chart" uri="{CE6537A1-D6FC-4f65-9D91-7224C49458BB}"/>
                <c:ext xmlns:c16="http://schemas.microsoft.com/office/drawing/2014/chart" uri="{C3380CC4-5D6E-409C-BE32-E72D297353CC}">
                  <c16:uniqueId val="{00000009-0DB5-48A4-95E6-3FAD5608F6BC}"/>
                </c:ext>
              </c:extLst>
            </c:dLbl>
            <c:dLbl>
              <c:idx val="10"/>
              <c:layout>
                <c:manualLayout>
                  <c:x val="-0.1554563574290056"/>
                  <c:y val="1.361865019036786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DB5-48A4-95E6-3FAD5608F6BC}"/>
                </c:ext>
              </c:extLst>
            </c:dLbl>
            <c:dLbl>
              <c:idx val="11"/>
              <c:delete val="1"/>
              <c:extLst>
                <c:ext xmlns:c15="http://schemas.microsoft.com/office/drawing/2012/chart" uri="{CE6537A1-D6FC-4f65-9D91-7224C49458BB}"/>
                <c:ext xmlns:c16="http://schemas.microsoft.com/office/drawing/2014/chart" uri="{C3380CC4-5D6E-409C-BE32-E72D297353CC}">
                  <c16:uniqueId val="{0000000B-0DB5-48A4-95E6-3FAD5608F6BC}"/>
                </c:ext>
              </c:extLst>
            </c:dLbl>
            <c:dLbl>
              <c:idx val="12"/>
              <c:layout>
                <c:manualLayout>
                  <c:x val="0.31288615238884615"/>
                  <c:y val="1.4654037773998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DB5-48A4-95E6-3FAD5608F6BC}"/>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10 CS biodéchets (%)'!$A$5:$A$17</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10 CS biodéchets (%)'!$B$5:$B$17</c:f>
              <c:numCache>
                <c:formatCode>0.0</c:formatCode>
                <c:ptCount val="13"/>
                <c:pt idx="0">
                  <c:v>81.507651182199183</c:v>
                </c:pt>
                <c:pt idx="1">
                  <c:v>2.8952682361385271</c:v>
                </c:pt>
                <c:pt idx="2">
                  <c:v>0.1291852399349199</c:v>
                </c:pt>
                <c:pt idx="3">
                  <c:v>0.13711240168665451</c:v>
                </c:pt>
                <c:pt idx="4">
                  <c:v>7.1383680295634584E-3</c:v>
                </c:pt>
                <c:pt idx="5">
                  <c:v>4.4073855027144742</c:v>
                </c:pt>
                <c:pt idx="6">
                  <c:v>3.1050213038542021</c:v>
                </c:pt>
                <c:pt idx="7">
                  <c:v>0.1404791681896996</c:v>
                </c:pt>
                <c:pt idx="8">
                  <c:v>0.1263123856911065</c:v>
                </c:pt>
                <c:pt idx="9">
                  <c:v>8.90606846432314E-2</c:v>
                </c:pt>
                <c:pt idx="10">
                  <c:v>0.76143982572924085</c:v>
                </c:pt>
                <c:pt idx="11">
                  <c:v>2.6932781599023091E-2</c:v>
                </c:pt>
                <c:pt idx="12">
                  <c:v>6.667012919590185</c:v>
                </c:pt>
              </c:numCache>
            </c:numRef>
          </c:val>
          <c:extLst>
            <c:ext xmlns:c16="http://schemas.microsoft.com/office/drawing/2014/chart" uri="{C3380CC4-5D6E-409C-BE32-E72D297353CC}">
              <c16:uniqueId val="{0000000D-0DB5-48A4-95E6-3FAD5608F6BC}"/>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pPr>
            <a:endParaRPr lang="fr-FR" baseline="0"/>
          </a:p>
        </c:rich>
      </c:tx>
      <c:overlay val="0"/>
    </c:title>
    <c:autoTitleDeleted val="0"/>
    <c:plotArea>
      <c:layout/>
      <c:barChart>
        <c:barDir val="col"/>
        <c:grouping val="clustered"/>
        <c:varyColors val="0"/>
        <c:ser>
          <c:idx val="0"/>
          <c:order val="0"/>
          <c:tx>
            <c:strRef>
              <c:f>'Fig 3 MODECOM 2017 - OMR'!$D$21</c:f>
              <c:strCache>
                <c:ptCount val="1"/>
                <c:pt idx="0">
                  <c:v>Moyenne OMR (%)</c:v>
                </c:pt>
              </c:strCache>
            </c:strRef>
          </c:tx>
          <c:spPr>
            <a:solidFill>
              <a:schemeClr val="accent2"/>
            </a:solidFill>
          </c:spPr>
          <c:invertIfNegative val="0"/>
          <c:errBars>
            <c:errBarType val="both"/>
            <c:errValType val="cust"/>
            <c:noEndCap val="0"/>
            <c:plus>
              <c:numRef>
                <c:f>'Fig 3 MODECOM 2017 - OMR'!$E$22:$E$33</c:f>
                <c:numCache>
                  <c:formatCode>General</c:formatCode>
                  <c:ptCount val="12"/>
                  <c:pt idx="0">
                    <c:v>1.3151817716089478</c:v>
                  </c:pt>
                  <c:pt idx="1">
                    <c:v>0.5643604713362893</c:v>
                  </c:pt>
                  <c:pt idx="2">
                    <c:v>0.39049244381685566</c:v>
                  </c:pt>
                  <c:pt idx="3">
                    <c:v>0.1431839166770309</c:v>
                  </c:pt>
                  <c:pt idx="4">
                    <c:v>0.24249289845197514</c:v>
                  </c:pt>
                  <c:pt idx="5">
                    <c:v>0.65771003416255058</c:v>
                  </c:pt>
                  <c:pt idx="6">
                    <c:v>0.46298880983436713</c:v>
                  </c:pt>
                  <c:pt idx="7">
                    <c:v>0.35012812524755127</c:v>
                  </c:pt>
                  <c:pt idx="8">
                    <c:v>0.42721652857233905</c:v>
                  </c:pt>
                  <c:pt idx="9">
                    <c:v>0.24322465382196479</c:v>
                  </c:pt>
                  <c:pt idx="10">
                    <c:v>0.57777061993629142</c:v>
                  </c:pt>
                  <c:pt idx="11">
                    <c:v>9.9471696966148021E-2</c:v>
                  </c:pt>
                </c:numCache>
              </c:numRef>
            </c:plus>
            <c:minus>
              <c:numRef>
                <c:f>'Fig 3 MODECOM 2017 - OMR'!$E$22:$E$33</c:f>
                <c:numCache>
                  <c:formatCode>General</c:formatCode>
                  <c:ptCount val="12"/>
                  <c:pt idx="0">
                    <c:v>1.3151817716089478</c:v>
                  </c:pt>
                  <c:pt idx="1">
                    <c:v>0.5643604713362893</c:v>
                  </c:pt>
                  <c:pt idx="2">
                    <c:v>0.39049244381685566</c:v>
                  </c:pt>
                  <c:pt idx="3">
                    <c:v>0.1431839166770309</c:v>
                  </c:pt>
                  <c:pt idx="4">
                    <c:v>0.24249289845197514</c:v>
                  </c:pt>
                  <c:pt idx="5">
                    <c:v>0.65771003416255058</c:v>
                  </c:pt>
                  <c:pt idx="6">
                    <c:v>0.46298880983436713</c:v>
                  </c:pt>
                  <c:pt idx="7">
                    <c:v>0.35012812524755127</c:v>
                  </c:pt>
                  <c:pt idx="8">
                    <c:v>0.42721652857233905</c:v>
                  </c:pt>
                  <c:pt idx="9">
                    <c:v>0.24322465382196479</c:v>
                  </c:pt>
                  <c:pt idx="10">
                    <c:v>0.57777061993629142</c:v>
                  </c:pt>
                  <c:pt idx="11">
                    <c:v>9.9471696966148021E-2</c:v>
                  </c:pt>
                </c:numCache>
              </c:numRef>
            </c:minus>
          </c:errBars>
          <c:cat>
            <c:strRef>
              <c:f>'Fig 3 MODECOM 2017 - OMR'!$A$22:$A$33</c:f>
              <c:strCache>
                <c:ptCount val="12"/>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strCache>
            </c:strRef>
          </c:cat>
          <c:val>
            <c:numRef>
              <c:f>'Fig 3 MODECOM 2017 - OMR'!$D$22:$D$33</c:f>
              <c:numCache>
                <c:formatCode>0.0</c:formatCode>
                <c:ptCount val="12"/>
                <c:pt idx="0">
                  <c:v>32.759132697486379</c:v>
                </c:pt>
                <c:pt idx="1">
                  <c:v>8.6128091519223293</c:v>
                </c:pt>
                <c:pt idx="2">
                  <c:v>6.4080714900852618</c:v>
                </c:pt>
                <c:pt idx="3">
                  <c:v>2.3372684964182922</c:v>
                </c:pt>
                <c:pt idx="4">
                  <c:v>3.0316602797141745</c:v>
                </c:pt>
                <c:pt idx="5">
                  <c:v>13.912847770848886</c:v>
                </c:pt>
                <c:pt idx="6">
                  <c:v>14.694659926717803</c:v>
                </c:pt>
                <c:pt idx="7">
                  <c:v>4.5703719854660037</c:v>
                </c:pt>
                <c:pt idx="8">
                  <c:v>5.3486192652972537</c:v>
                </c:pt>
                <c:pt idx="9">
                  <c:v>3.4394079395264674</c:v>
                </c:pt>
                <c:pt idx="10">
                  <c:v>4.2655579754274582</c:v>
                </c:pt>
                <c:pt idx="11">
                  <c:v>0.6195930210896996</c:v>
                </c:pt>
              </c:numCache>
            </c:numRef>
          </c:val>
          <c:extLst>
            <c:ext xmlns:c16="http://schemas.microsoft.com/office/drawing/2014/chart" uri="{C3380CC4-5D6E-409C-BE32-E72D297353CC}">
              <c16:uniqueId val="{00000000-9CA9-494D-8092-D4E0001509E9}"/>
            </c:ext>
          </c:extLst>
        </c:ser>
        <c:dLbls>
          <c:showLegendKey val="0"/>
          <c:showVal val="0"/>
          <c:showCatName val="0"/>
          <c:showSerName val="0"/>
          <c:showPercent val="0"/>
          <c:showBubbleSize val="0"/>
        </c:dLbls>
        <c:gapWidth val="150"/>
        <c:axId val="110298240"/>
        <c:axId val="110300160"/>
      </c:barChart>
      <c:barChart>
        <c:barDir val="col"/>
        <c:grouping val="clustered"/>
        <c:varyColors val="0"/>
        <c:ser>
          <c:idx val="1"/>
          <c:order val="1"/>
          <c:tx>
            <c:strRef>
              <c:f>'Fig 3 MODECOM 2017 - OMR'!$D$21</c:f>
              <c:strCache>
                <c:ptCount val="1"/>
                <c:pt idx="0">
                  <c:v>Moyenne OMR (%)</c:v>
                </c:pt>
              </c:strCache>
            </c:strRef>
          </c:tx>
          <c:invertIfNegative val="0"/>
          <c:cat>
            <c:strRef>
              <c:f>'Fig 3 MODECOM 2017 - OMR'!$A$22:$A$33</c:f>
              <c:strCache>
                <c:ptCount val="12"/>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strCache>
            </c:strRef>
          </c:cat>
          <c:val>
            <c:numRef>
              <c:f>'Fig 3 MODECOM 2017 - OMR'!$D$22:$D$33</c:f>
              <c:numCache>
                <c:formatCode>0.0</c:formatCode>
                <c:ptCount val="12"/>
                <c:pt idx="0">
                  <c:v>32.759132697486379</c:v>
                </c:pt>
                <c:pt idx="1">
                  <c:v>8.6128091519223293</c:v>
                </c:pt>
                <c:pt idx="2">
                  <c:v>6.4080714900852618</c:v>
                </c:pt>
                <c:pt idx="3">
                  <c:v>2.3372684964182922</c:v>
                </c:pt>
                <c:pt idx="4">
                  <c:v>3.0316602797141745</c:v>
                </c:pt>
                <c:pt idx="5">
                  <c:v>13.912847770848886</c:v>
                </c:pt>
                <c:pt idx="6">
                  <c:v>14.694659926717803</c:v>
                </c:pt>
                <c:pt idx="7">
                  <c:v>4.5703719854660037</c:v>
                </c:pt>
                <c:pt idx="8">
                  <c:v>5.3486192652972537</c:v>
                </c:pt>
                <c:pt idx="9">
                  <c:v>3.4394079395264674</c:v>
                </c:pt>
                <c:pt idx="10">
                  <c:v>4.2655579754274582</c:v>
                </c:pt>
                <c:pt idx="11">
                  <c:v>0.6195930210896996</c:v>
                </c:pt>
              </c:numCache>
            </c:numRef>
          </c:val>
          <c:extLst>
            <c:ext xmlns:c16="http://schemas.microsoft.com/office/drawing/2014/chart" uri="{C3380CC4-5D6E-409C-BE32-E72D297353CC}">
              <c16:uniqueId val="{00000001-9CA9-494D-8092-D4E0001509E9}"/>
            </c:ext>
          </c:extLst>
        </c:ser>
        <c:dLbls>
          <c:showLegendKey val="0"/>
          <c:showVal val="0"/>
          <c:showCatName val="0"/>
          <c:showSerName val="0"/>
          <c:showPercent val="0"/>
          <c:showBubbleSize val="0"/>
        </c:dLbls>
        <c:gapWidth val="150"/>
        <c:axId val="110320256"/>
        <c:axId val="110318720"/>
      </c:barChart>
      <c:catAx>
        <c:axId val="110298240"/>
        <c:scaling>
          <c:orientation val="minMax"/>
        </c:scaling>
        <c:delete val="0"/>
        <c:axPos val="b"/>
        <c:title>
          <c:tx>
            <c:rich>
              <a:bodyPr/>
              <a:lstStyle/>
              <a:p>
                <a:pPr>
                  <a:defRPr sz="900" b="0"/>
                </a:pPr>
                <a:r>
                  <a:rPr lang="fr-FR" sz="900" b="0"/>
                  <a:t>kg/hab/an</a:t>
                </a:r>
              </a:p>
            </c:rich>
          </c:tx>
          <c:layout>
            <c:manualLayout>
              <c:xMode val="edge"/>
              <c:yMode val="edge"/>
              <c:x val="0.88328859445216834"/>
              <c:y val="6.3474211400806183E-2"/>
            </c:manualLayout>
          </c:layout>
          <c:overlay val="0"/>
        </c:title>
        <c:numFmt formatCode="General" sourceLinked="0"/>
        <c:majorTickMark val="none"/>
        <c:minorTickMark val="none"/>
        <c:tickLblPos val="nextTo"/>
        <c:crossAx val="110300160"/>
        <c:crosses val="autoZero"/>
        <c:auto val="1"/>
        <c:lblAlgn val="ctr"/>
        <c:lblOffset val="100"/>
        <c:noMultiLvlLbl val="0"/>
      </c:catAx>
      <c:valAx>
        <c:axId val="110300160"/>
        <c:scaling>
          <c:orientation val="minMax"/>
        </c:scaling>
        <c:delete val="0"/>
        <c:axPos val="l"/>
        <c:majorGridlines/>
        <c:title>
          <c:tx>
            <c:rich>
              <a:bodyPr rot="0" vert="horz"/>
              <a:lstStyle/>
              <a:p>
                <a:pPr>
                  <a:defRPr sz="900" b="0"/>
                </a:pPr>
                <a:r>
                  <a:rPr lang="fr-FR" sz="900" b="0"/>
                  <a:t>%</a:t>
                </a:r>
              </a:p>
            </c:rich>
          </c:tx>
          <c:layout>
            <c:manualLayout>
              <c:xMode val="edge"/>
              <c:yMode val="edge"/>
              <c:x val="9.7981919635538123E-2"/>
              <c:y val="7.3391708655496671E-2"/>
            </c:manualLayout>
          </c:layout>
          <c:overlay val="0"/>
        </c:title>
        <c:numFmt formatCode="0.0" sourceLinked="1"/>
        <c:majorTickMark val="out"/>
        <c:minorTickMark val="none"/>
        <c:tickLblPos val="nextTo"/>
        <c:txPr>
          <a:bodyPr/>
          <a:lstStyle/>
          <a:p>
            <a:pPr>
              <a:defRPr sz="900"/>
            </a:pPr>
            <a:endParaRPr lang="fr-FR"/>
          </a:p>
        </c:txPr>
        <c:crossAx val="110298240"/>
        <c:crosses val="autoZero"/>
        <c:crossBetween val="between"/>
      </c:valAx>
      <c:valAx>
        <c:axId val="110318720"/>
        <c:scaling>
          <c:orientation val="minMax"/>
          <c:max val="100"/>
        </c:scaling>
        <c:delete val="0"/>
        <c:axPos val="r"/>
        <c:numFmt formatCode="0.0" sourceLinked="1"/>
        <c:majorTickMark val="out"/>
        <c:minorTickMark val="none"/>
        <c:tickLblPos val="nextTo"/>
        <c:txPr>
          <a:bodyPr/>
          <a:lstStyle/>
          <a:p>
            <a:pPr>
              <a:defRPr sz="900"/>
            </a:pPr>
            <a:endParaRPr lang="fr-FR"/>
          </a:p>
        </c:txPr>
        <c:crossAx val="110320256"/>
        <c:crosses val="max"/>
        <c:crossBetween val="between"/>
      </c:valAx>
      <c:catAx>
        <c:axId val="110320256"/>
        <c:scaling>
          <c:orientation val="minMax"/>
        </c:scaling>
        <c:delete val="1"/>
        <c:axPos val="b"/>
        <c:numFmt formatCode="General" sourceLinked="1"/>
        <c:majorTickMark val="out"/>
        <c:minorTickMark val="none"/>
        <c:tickLblPos val="nextTo"/>
        <c:crossAx val="110318720"/>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endParaRPr lang="fr-FR"/>
          </a:p>
        </c:rich>
      </c:tx>
      <c:overlay val="0"/>
    </c:title>
    <c:autoTitleDeleted val="0"/>
    <c:plotArea>
      <c:layout/>
      <c:pieChart>
        <c:varyColors val="1"/>
        <c:ser>
          <c:idx val="0"/>
          <c:order val="0"/>
          <c:dLbls>
            <c:dLbl>
              <c:idx val="7"/>
              <c:layout>
                <c:manualLayout>
                  <c:x val="-4.682980317441416E-2"/>
                  <c:y val="1.40736101169172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76F-4C93-A060-21B8F42BBAF1}"/>
                </c:ext>
              </c:extLst>
            </c:dLbl>
            <c:dLbl>
              <c:idx val="9"/>
              <c:layout>
                <c:manualLayout>
                  <c:x val="-0.18046202164237976"/>
                  <c:y val="3.016970890002386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6F-4C93-A060-21B8F42BBAF1}"/>
                </c:ext>
              </c:extLst>
            </c:dLbl>
            <c:dLbl>
              <c:idx val="10"/>
              <c:layout>
                <c:manualLayout>
                  <c:x val="-0.11374196845432129"/>
                  <c:y val="-4.340849439274636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6F-4C93-A060-21B8F42BBAF1}"/>
                </c:ext>
              </c:extLst>
            </c:dLbl>
            <c:dLbl>
              <c:idx val="11"/>
              <c:layout>
                <c:manualLayout>
                  <c:x val="0.12334886305563411"/>
                  <c:y val="-4.77210093056549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76F-4C93-A060-21B8F42BBAF1}"/>
                </c:ext>
              </c:extLst>
            </c:dLbl>
            <c:dLbl>
              <c:idx val="12"/>
              <c:layout>
                <c:manualLayout>
                  <c:x val="0.39048539064942023"/>
                  <c:y val="-7.72846575996182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76F-4C93-A060-21B8F42BBAF1}"/>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11 OMA par catégories'!$A$6:$A$18</c:f>
              <c:strCache>
                <c:ptCount val="13"/>
                <c:pt idx="0">
                  <c:v>Déchets Putrescibles</c:v>
                </c:pt>
                <c:pt idx="1">
                  <c:v>Papiers</c:v>
                </c:pt>
                <c:pt idx="2">
                  <c:v>Cartons</c:v>
                </c:pt>
                <c:pt idx="3">
                  <c:v>Composites</c:v>
                </c:pt>
                <c:pt idx="4">
                  <c:v>Textiles</c:v>
                </c:pt>
                <c:pt idx="5">
                  <c:v>Textiles sanitaires</c:v>
                </c:pt>
                <c:pt idx="6">
                  <c:v>Plastiques</c:v>
                </c:pt>
                <c:pt idx="7">
                  <c:v>Combustibles non classés</c:v>
                </c:pt>
                <c:pt idx="8">
                  <c:v>Verre</c:v>
                </c:pt>
                <c:pt idx="9">
                  <c:v>Métaux</c:v>
                </c:pt>
                <c:pt idx="10">
                  <c:v>Incombustibles non classés</c:v>
                </c:pt>
                <c:pt idx="11">
                  <c:v>Déchets dangereux</c:v>
                </c:pt>
                <c:pt idx="12">
                  <c:v>Eléments fins &lt;8 mm</c:v>
                </c:pt>
              </c:strCache>
            </c:strRef>
          </c:cat>
          <c:val>
            <c:numRef>
              <c:f>'Fig 11 OMA par catégories'!$B$6:$B$18</c:f>
              <c:numCache>
                <c:formatCode>0</c:formatCode>
                <c:ptCount val="13"/>
                <c:pt idx="0">
                  <c:v>25.317443325391743</c:v>
                </c:pt>
                <c:pt idx="1">
                  <c:v>13.354509684990214</c:v>
                </c:pt>
                <c:pt idx="2">
                  <c:v>8.6010591046123199</c:v>
                </c:pt>
                <c:pt idx="3">
                  <c:v>2.1065000247606074</c:v>
                </c:pt>
                <c:pt idx="4">
                  <c:v>2.367590153730502</c:v>
                </c:pt>
                <c:pt idx="5">
                  <c:v>10.658730930672595</c:v>
                </c:pt>
                <c:pt idx="6">
                  <c:v>13.40554843100122</c:v>
                </c:pt>
                <c:pt idx="7">
                  <c:v>3.6464782751742346</c:v>
                </c:pt>
                <c:pt idx="8">
                  <c:v>13.033524342145014</c:v>
                </c:pt>
                <c:pt idx="9">
                  <c:v>3.3395593029699397</c:v>
                </c:pt>
                <c:pt idx="10">
                  <c:v>3.3182242168338676</c:v>
                </c:pt>
                <c:pt idx="11">
                  <c:v>0.54682634837658428</c:v>
                </c:pt>
                <c:pt idx="12" formatCode="0.0">
                  <c:v>0.30400585934115498</c:v>
                </c:pt>
              </c:numCache>
            </c:numRef>
          </c:val>
          <c:extLst>
            <c:ext xmlns:c16="http://schemas.microsoft.com/office/drawing/2014/chart" uri="{C3380CC4-5D6E-409C-BE32-E72D297353CC}">
              <c16:uniqueId val="{00000005-F76F-4C93-A060-21B8F42BBAF1}"/>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12 OMA  OMR et CS par cat'!$B$1</c:f>
              <c:strCache>
                <c:ptCount val="1"/>
                <c:pt idx="0">
                  <c:v>Ratios OMR
</c:v>
                </c:pt>
              </c:strCache>
            </c:strRef>
          </c:tx>
          <c:invertIfNegative val="0"/>
          <c:cat>
            <c:strRef>
              <c:f>'Fig 12 OMA  OMR et CS par cat'!$A$2:$A$14</c:f>
              <c:strCache>
                <c:ptCount val="13"/>
                <c:pt idx="0">
                  <c:v>Déchets Putrescibles</c:v>
                </c:pt>
                <c:pt idx="1">
                  <c:v>Plastiques</c:v>
                </c:pt>
                <c:pt idx="2">
                  <c:v>Papiers</c:v>
                </c:pt>
                <c:pt idx="3">
                  <c:v>Verre</c:v>
                </c:pt>
                <c:pt idx="4">
                  <c:v>Textiles sanitaires</c:v>
                </c:pt>
                <c:pt idx="5">
                  <c:v>Cartons</c:v>
                </c:pt>
                <c:pt idx="6">
                  <c:v>Combustibles non classés</c:v>
                </c:pt>
                <c:pt idx="7">
                  <c:v>Métaux</c:v>
                </c:pt>
                <c:pt idx="8">
                  <c:v>Incombustibles non classés</c:v>
                </c:pt>
                <c:pt idx="9">
                  <c:v>Textiles</c:v>
                </c:pt>
                <c:pt idx="10">
                  <c:v>Composites</c:v>
                </c:pt>
                <c:pt idx="11">
                  <c:v>Déchets dangereux</c:v>
                </c:pt>
                <c:pt idx="12">
                  <c:v>Eléments fins &lt;8 mm</c:v>
                </c:pt>
              </c:strCache>
            </c:strRef>
          </c:cat>
          <c:val>
            <c:numRef>
              <c:f>'Fig 12 OMA  OMR et CS par cat'!$B$2:$B$14</c:f>
              <c:numCache>
                <c:formatCode>0.0</c:formatCode>
                <c:ptCount val="13"/>
                <c:pt idx="0">
                  <c:v>83.113615525552603</c:v>
                </c:pt>
                <c:pt idx="1">
                  <c:v>37.282010079640486</c:v>
                </c:pt>
                <c:pt idx="2">
                  <c:v>21.851668512053138</c:v>
                </c:pt>
                <c:pt idx="3">
                  <c:v>13.570050505109657</c:v>
                </c:pt>
                <c:pt idx="4">
                  <c:v>35.298464436471548</c:v>
                </c:pt>
                <c:pt idx="5">
                  <c:v>16.258000326366016</c:v>
                </c:pt>
                <c:pt idx="6">
                  <c:v>11.595549354636143</c:v>
                </c:pt>
                <c:pt idx="7">
                  <c:v>8.7261659751837701</c:v>
                </c:pt>
                <c:pt idx="8">
                  <c:v>10.822201822175687</c:v>
                </c:pt>
                <c:pt idx="9">
                  <c:v>7.6916641603148141</c:v>
                </c:pt>
                <c:pt idx="10">
                  <c:v>5.92991386509454</c:v>
                </c:pt>
                <c:pt idx="11">
                  <c:v>1.5719773967372541</c:v>
                </c:pt>
                <c:pt idx="12">
                  <c:v>0</c:v>
                </c:pt>
              </c:numCache>
            </c:numRef>
          </c:val>
          <c:extLst>
            <c:ext xmlns:c16="http://schemas.microsoft.com/office/drawing/2014/chart" uri="{C3380CC4-5D6E-409C-BE32-E72D297353CC}">
              <c16:uniqueId val="{00000000-578F-4C23-835D-E5DD3AADC54D}"/>
            </c:ext>
          </c:extLst>
        </c:ser>
        <c:ser>
          <c:idx val="1"/>
          <c:order val="1"/>
          <c:tx>
            <c:strRef>
              <c:f>'Fig 12 OMA  OMR et CS par cat'!$C$1</c:f>
              <c:strCache>
                <c:ptCount val="1"/>
                <c:pt idx="0">
                  <c:v>Ratios CS
</c:v>
                </c:pt>
              </c:strCache>
            </c:strRef>
          </c:tx>
          <c:invertIfNegative val="0"/>
          <c:cat>
            <c:strRef>
              <c:f>'Fig 12 OMA  OMR et CS par cat'!$A$2:$A$14</c:f>
              <c:strCache>
                <c:ptCount val="13"/>
                <c:pt idx="0">
                  <c:v>Déchets Putrescibles</c:v>
                </c:pt>
                <c:pt idx="1">
                  <c:v>Plastiques</c:v>
                </c:pt>
                <c:pt idx="2">
                  <c:v>Papiers</c:v>
                </c:pt>
                <c:pt idx="3">
                  <c:v>Verre</c:v>
                </c:pt>
                <c:pt idx="4">
                  <c:v>Textiles sanitaires</c:v>
                </c:pt>
                <c:pt idx="5">
                  <c:v>Cartons</c:v>
                </c:pt>
                <c:pt idx="6">
                  <c:v>Combustibles non classés</c:v>
                </c:pt>
                <c:pt idx="7">
                  <c:v>Métaux</c:v>
                </c:pt>
                <c:pt idx="8">
                  <c:v>Incombustibles non classés</c:v>
                </c:pt>
                <c:pt idx="9">
                  <c:v>Textiles</c:v>
                </c:pt>
                <c:pt idx="10">
                  <c:v>Composites</c:v>
                </c:pt>
                <c:pt idx="11">
                  <c:v>Déchets dangereux</c:v>
                </c:pt>
                <c:pt idx="12">
                  <c:v>Eléments fins &lt;8 mm</c:v>
                </c:pt>
              </c:strCache>
            </c:strRef>
          </c:cat>
          <c:val>
            <c:numRef>
              <c:f>'Fig 12 OMA  OMR et CS par cat'!$C$2:$C$14</c:f>
              <c:numCache>
                <c:formatCode>0.0</c:formatCode>
                <c:ptCount val="13"/>
                <c:pt idx="0">
                  <c:v>1.704432961063209</c:v>
                </c:pt>
                <c:pt idx="1">
                  <c:v>7.6290199243239654</c:v>
                </c:pt>
                <c:pt idx="2">
                  <c:v>22.888372392490052</c:v>
                </c:pt>
                <c:pt idx="3">
                  <c:v>30.094631010927191</c:v>
                </c:pt>
                <c:pt idx="4">
                  <c:v>0.41022641608677568</c:v>
                </c:pt>
                <c:pt idx="5">
                  <c:v>12.557114959765189</c:v>
                </c:pt>
                <c:pt idx="6">
                  <c:v>0.62081732876132978</c:v>
                </c:pt>
                <c:pt idx="7">
                  <c:v>2.4619662245295815</c:v>
                </c:pt>
                <c:pt idx="8">
                  <c:v>0.29445395130071617</c:v>
                </c:pt>
                <c:pt idx="9">
                  <c:v>0.24019427715008632</c:v>
                </c:pt>
                <c:pt idx="10">
                  <c:v>1.1272450644569703</c:v>
                </c:pt>
                <c:pt idx="11">
                  <c:v>0.25999051306536564</c:v>
                </c:pt>
                <c:pt idx="12">
                  <c:v>1.0184750247649428</c:v>
                </c:pt>
              </c:numCache>
            </c:numRef>
          </c:val>
          <c:extLst>
            <c:ext xmlns:c16="http://schemas.microsoft.com/office/drawing/2014/chart" uri="{C3380CC4-5D6E-409C-BE32-E72D297353CC}">
              <c16:uniqueId val="{00000001-578F-4C23-835D-E5DD3AADC54D}"/>
            </c:ext>
          </c:extLst>
        </c:ser>
        <c:dLbls>
          <c:showLegendKey val="0"/>
          <c:showVal val="0"/>
          <c:showCatName val="0"/>
          <c:showSerName val="0"/>
          <c:showPercent val="0"/>
          <c:showBubbleSize val="0"/>
        </c:dLbls>
        <c:gapWidth val="150"/>
        <c:overlap val="100"/>
        <c:axId val="122152448"/>
        <c:axId val="122153984"/>
      </c:barChart>
      <c:catAx>
        <c:axId val="122152448"/>
        <c:scaling>
          <c:orientation val="minMax"/>
        </c:scaling>
        <c:delete val="0"/>
        <c:axPos val="b"/>
        <c:numFmt formatCode="General" sourceLinked="0"/>
        <c:majorTickMark val="out"/>
        <c:minorTickMark val="none"/>
        <c:tickLblPos val="nextTo"/>
        <c:crossAx val="122153984"/>
        <c:crosses val="autoZero"/>
        <c:auto val="1"/>
        <c:lblAlgn val="ctr"/>
        <c:lblOffset val="100"/>
        <c:noMultiLvlLbl val="0"/>
      </c:catAx>
      <c:valAx>
        <c:axId val="122153984"/>
        <c:scaling>
          <c:orientation val="minMax"/>
        </c:scaling>
        <c:delete val="0"/>
        <c:axPos val="l"/>
        <c:majorGridlines/>
        <c:numFmt formatCode="0.0" sourceLinked="1"/>
        <c:majorTickMark val="out"/>
        <c:minorTickMark val="none"/>
        <c:tickLblPos val="nextTo"/>
        <c:crossAx val="12215244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 13 OMA taux de captage CS'!$B$2</c:f>
              <c:strCache>
                <c:ptCount val="1"/>
                <c:pt idx="0">
                  <c:v>Taux de captage par les CS (%)</c:v>
                </c:pt>
              </c:strCache>
            </c:strRef>
          </c:tx>
          <c:invertIfNegative val="0"/>
          <c:dPt>
            <c:idx val="15"/>
            <c:invertIfNegative val="0"/>
            <c:bubble3D val="0"/>
            <c:spPr>
              <a:solidFill>
                <a:schemeClr val="accent6"/>
              </a:solidFill>
            </c:spPr>
            <c:extLst>
              <c:ext xmlns:c16="http://schemas.microsoft.com/office/drawing/2014/chart" uri="{C3380CC4-5D6E-409C-BE32-E72D297353CC}">
                <c16:uniqueId val="{00000001-1236-48C3-9E84-F6B139A67A93}"/>
              </c:ext>
            </c:extLst>
          </c:dPt>
          <c:dPt>
            <c:idx val="16"/>
            <c:invertIfNegative val="0"/>
            <c:bubble3D val="0"/>
            <c:spPr>
              <a:solidFill>
                <a:schemeClr val="accent6"/>
              </a:solidFill>
            </c:spPr>
            <c:extLst>
              <c:ext xmlns:c16="http://schemas.microsoft.com/office/drawing/2014/chart" uri="{C3380CC4-5D6E-409C-BE32-E72D297353CC}">
                <c16:uniqueId val="{00000003-1236-48C3-9E84-F6B139A67A93}"/>
              </c:ext>
            </c:extLst>
          </c:dPt>
          <c:dPt>
            <c:idx val="17"/>
            <c:invertIfNegative val="0"/>
            <c:bubble3D val="0"/>
            <c:spPr>
              <a:solidFill>
                <a:schemeClr val="accent6"/>
              </a:solidFill>
            </c:spPr>
            <c:extLst>
              <c:ext xmlns:c16="http://schemas.microsoft.com/office/drawing/2014/chart" uri="{C3380CC4-5D6E-409C-BE32-E72D297353CC}">
                <c16:uniqueId val="{00000005-1236-48C3-9E84-F6B139A67A93}"/>
              </c:ext>
            </c:extLst>
          </c:dPt>
          <c:dPt>
            <c:idx val="18"/>
            <c:invertIfNegative val="0"/>
            <c:bubble3D val="0"/>
            <c:spPr>
              <a:solidFill>
                <a:schemeClr val="accent6"/>
              </a:solidFill>
            </c:spPr>
            <c:extLst>
              <c:ext xmlns:c16="http://schemas.microsoft.com/office/drawing/2014/chart" uri="{C3380CC4-5D6E-409C-BE32-E72D297353CC}">
                <c16:uniqueId val="{00000007-1236-48C3-9E84-F6B139A67A93}"/>
              </c:ext>
            </c:extLst>
          </c:dPt>
          <c:dPt>
            <c:idx val="19"/>
            <c:invertIfNegative val="0"/>
            <c:bubble3D val="0"/>
            <c:spPr>
              <a:solidFill>
                <a:schemeClr val="accent6"/>
              </a:solidFill>
            </c:spPr>
            <c:extLst>
              <c:ext xmlns:c16="http://schemas.microsoft.com/office/drawing/2014/chart" uri="{C3380CC4-5D6E-409C-BE32-E72D297353CC}">
                <c16:uniqueId val="{00000009-1236-48C3-9E84-F6B139A67A93}"/>
              </c:ext>
            </c:extLst>
          </c:dPt>
          <c:cat>
            <c:strRef>
              <c:f>'Fig 13 OMA taux de captage CS'!$A$3:$A$22</c:f>
              <c:strCache>
                <c:ptCount val="20"/>
                <c:pt idx="0">
                  <c:v>Emballages en verre de couleur</c:v>
                </c:pt>
                <c:pt idx="1">
                  <c:v>JRM</c:v>
                </c:pt>
                <c:pt idx="2">
                  <c:v>Imprimés publicitaires</c:v>
                </c:pt>
                <c:pt idx="3">
                  <c:v>Emballages en verre incolore</c:v>
                </c:pt>
                <c:pt idx="4">
                  <c:v>Emballages cartons ondules</c:v>
                </c:pt>
                <c:pt idx="5">
                  <c:v>Bouteilles et flacons en PET</c:v>
                </c:pt>
                <c:pt idx="6">
                  <c:v>Bouteilles et flacons polyoléfines</c:v>
                </c:pt>
                <c:pt idx="7">
                  <c:v>Emballages de liquides alimentaires</c:v>
                </c:pt>
                <c:pt idx="8">
                  <c:v>Autres papiers</c:v>
                </c:pt>
                <c:pt idx="9">
                  <c:v>Autres cartons</c:v>
                </c:pt>
                <c:pt idx="10">
                  <c:v>Papiers bureautiques</c:v>
                </c:pt>
                <c:pt idx="11">
                  <c:v>Emballages cartons plats</c:v>
                </c:pt>
                <c:pt idx="12">
                  <c:v>Emballages métaux ferreux</c:v>
                </c:pt>
                <c:pt idx="13">
                  <c:v>Emballages papiers</c:v>
                </c:pt>
                <c:pt idx="14">
                  <c:v>Emballages aluminium</c:v>
                </c:pt>
                <c:pt idx="15">
                  <c:v>Emballage en bois</c:v>
                </c:pt>
                <c:pt idx="16">
                  <c:v>Autres emballages plastiques</c:v>
                </c:pt>
                <c:pt idx="17">
                  <c:v>Autres films plastiques d'emballage</c:v>
                </c:pt>
                <c:pt idx="18">
                  <c:v>Autres emballages composites</c:v>
                </c:pt>
                <c:pt idx="19">
                  <c:v>Autres sacs plastiques</c:v>
                </c:pt>
              </c:strCache>
            </c:strRef>
          </c:cat>
          <c:val>
            <c:numRef>
              <c:f>'Fig 13 OMA taux de captage CS'!$B$3:$B$22</c:f>
              <c:numCache>
                <c:formatCode>0</c:formatCode>
                <c:ptCount val="20"/>
                <c:pt idx="0">
                  <c:v>75.289800455350303</c:v>
                </c:pt>
                <c:pt idx="1">
                  <c:v>63.992563583194901</c:v>
                </c:pt>
                <c:pt idx="2">
                  <c:v>62.290872974539901</c:v>
                </c:pt>
                <c:pt idx="3">
                  <c:v>57.310888161248897</c:v>
                </c:pt>
                <c:pt idx="4">
                  <c:v>54.415037748372299</c:v>
                </c:pt>
                <c:pt idx="5">
                  <c:v>52.416403407507502</c:v>
                </c:pt>
                <c:pt idx="6">
                  <c:v>46.722639445260199</c:v>
                </c:pt>
                <c:pt idx="7">
                  <c:v>35.778983278172497</c:v>
                </c:pt>
                <c:pt idx="8">
                  <c:v>34.7413651515472</c:v>
                </c:pt>
                <c:pt idx="9">
                  <c:v>33.981378697483102</c:v>
                </c:pt>
                <c:pt idx="10">
                  <c:v>33.767129528894401</c:v>
                </c:pt>
                <c:pt idx="11">
                  <c:v>32.401875114126902</c:v>
                </c:pt>
                <c:pt idx="12">
                  <c:v>29.153780600257299</c:v>
                </c:pt>
                <c:pt idx="13">
                  <c:v>14.335542516449401</c:v>
                </c:pt>
                <c:pt idx="14">
                  <c:v>13.4311337532463</c:v>
                </c:pt>
                <c:pt idx="15">
                  <c:v>10.3348004466666</c:v>
                </c:pt>
                <c:pt idx="16">
                  <c:v>10.1635205044643</c:v>
                </c:pt>
                <c:pt idx="17">
                  <c:v>7.9779849523736797</c:v>
                </c:pt>
                <c:pt idx="18">
                  <c:v>7.8605328845350897</c:v>
                </c:pt>
                <c:pt idx="19">
                  <c:v>6.2964002960945598</c:v>
                </c:pt>
              </c:numCache>
            </c:numRef>
          </c:val>
          <c:extLst>
            <c:ext xmlns:c16="http://schemas.microsoft.com/office/drawing/2014/chart" uri="{C3380CC4-5D6E-409C-BE32-E72D297353CC}">
              <c16:uniqueId val="{00000000-E798-49F3-A230-1E77FB2306B1}"/>
            </c:ext>
          </c:extLst>
        </c:ser>
        <c:dLbls>
          <c:showLegendKey val="0"/>
          <c:showVal val="0"/>
          <c:showCatName val="0"/>
          <c:showSerName val="0"/>
          <c:showPercent val="0"/>
          <c:showBubbleSize val="0"/>
        </c:dLbls>
        <c:gapWidth val="250"/>
        <c:overlap val="100"/>
        <c:axId val="119347072"/>
        <c:axId val="119348608"/>
      </c:barChart>
      <c:catAx>
        <c:axId val="119347072"/>
        <c:scaling>
          <c:orientation val="minMax"/>
        </c:scaling>
        <c:delete val="0"/>
        <c:axPos val="l"/>
        <c:numFmt formatCode="General" sourceLinked="0"/>
        <c:majorTickMark val="none"/>
        <c:minorTickMark val="none"/>
        <c:tickLblPos val="nextTo"/>
        <c:txPr>
          <a:bodyPr rot="0"/>
          <a:lstStyle/>
          <a:p>
            <a:pPr>
              <a:defRPr sz="900"/>
            </a:pPr>
            <a:endParaRPr lang="fr-FR"/>
          </a:p>
        </c:txPr>
        <c:crossAx val="119348608"/>
        <c:crosses val="autoZero"/>
        <c:auto val="1"/>
        <c:lblAlgn val="ctr"/>
        <c:lblOffset val="100"/>
        <c:noMultiLvlLbl val="0"/>
      </c:catAx>
      <c:valAx>
        <c:axId val="119348608"/>
        <c:scaling>
          <c:orientation val="minMax"/>
        </c:scaling>
        <c:delete val="0"/>
        <c:axPos val="b"/>
        <c:majorGridlines/>
        <c:title>
          <c:tx>
            <c:rich>
              <a:bodyPr/>
              <a:lstStyle/>
              <a:p>
                <a:pPr>
                  <a:defRPr/>
                </a:pPr>
                <a:r>
                  <a:rPr lang="fr-FR"/>
                  <a:t>Taux de captage par les CS (%)</a:t>
                </a:r>
              </a:p>
            </c:rich>
          </c:tx>
          <c:overlay val="0"/>
        </c:title>
        <c:numFmt formatCode="0" sourceLinked="1"/>
        <c:majorTickMark val="none"/>
        <c:minorTickMark val="none"/>
        <c:tickLblPos val="nextTo"/>
        <c:txPr>
          <a:bodyPr/>
          <a:lstStyle/>
          <a:p>
            <a:pPr>
              <a:defRPr sz="900"/>
            </a:pPr>
            <a:endParaRPr lang="fr-FR"/>
          </a:p>
        </c:txPr>
        <c:crossAx val="119347072"/>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val>
            <c:numRef>
              <c:f>'Fig 13 OMA taux de captage CS'!#REF!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 13 OMA taux de captage CS'!#REF!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13 OMA taux de captage CS'!#REF!</c15:sqref>
                        </c15:formulaRef>
                      </c:ext>
                    </c:extLst>
                  </c:multiLvlStrRef>
                </c15:cat>
              </c15:filteredCategoryTitle>
            </c:ext>
            <c:ext xmlns:c16="http://schemas.microsoft.com/office/drawing/2014/chart" uri="{C3380CC4-5D6E-409C-BE32-E72D297353CC}">
              <c16:uniqueId val="{00000000-2C83-4270-B8F8-652E28A2BAEB}"/>
            </c:ext>
          </c:extLst>
        </c:ser>
        <c:ser>
          <c:idx val="1"/>
          <c:order val="1"/>
          <c:spPr>
            <a:solidFill>
              <a:srgbClr val="FFFF00"/>
            </a:solidFill>
            <a:ln>
              <a:noFill/>
            </a:ln>
            <a:effectLst/>
          </c:spPr>
          <c:invertIfNegative val="0"/>
          <c:val>
            <c:numRef>
              <c:f>'Fig 13 OMA taux de captage CS'!#REF!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 13 OMA taux de captage CS'!#REF!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13 OMA taux de captage CS'!#REF!</c15:sqref>
                        </c15:formulaRef>
                      </c:ext>
                    </c:extLst>
                  </c:multiLvlStrRef>
                </c15:cat>
              </c15:filteredCategoryTitle>
            </c:ext>
            <c:ext xmlns:c16="http://schemas.microsoft.com/office/drawing/2014/chart" uri="{C3380CC4-5D6E-409C-BE32-E72D297353CC}">
              <c16:uniqueId val="{00000001-2C83-4270-B8F8-652E28A2BAEB}"/>
            </c:ext>
          </c:extLst>
        </c:ser>
        <c:ser>
          <c:idx val="2"/>
          <c:order val="2"/>
          <c:spPr>
            <a:solidFill>
              <a:srgbClr val="92D050"/>
            </a:solidFill>
            <a:ln>
              <a:noFill/>
            </a:ln>
            <a:effectLst/>
          </c:spPr>
          <c:invertIfNegative val="0"/>
          <c:val>
            <c:numRef>
              <c:f>'Fig 13 OMA taux de captage CS'!#REF!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 13 OMA taux de captage CS'!#REF!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13 OMA taux de captage CS'!#REF!</c15:sqref>
                        </c15:formulaRef>
                      </c:ext>
                    </c:extLst>
                  </c:multiLvlStrRef>
                </c15:cat>
              </c15:filteredCategoryTitle>
            </c:ext>
            <c:ext xmlns:c16="http://schemas.microsoft.com/office/drawing/2014/chart" uri="{C3380CC4-5D6E-409C-BE32-E72D297353CC}">
              <c16:uniqueId val="{00000002-2C83-4270-B8F8-652E28A2BAEB}"/>
            </c:ext>
          </c:extLst>
        </c:ser>
        <c:ser>
          <c:idx val="3"/>
          <c:order val="3"/>
          <c:spPr>
            <a:solidFill>
              <a:srgbClr val="00B050"/>
            </a:solidFill>
            <a:ln>
              <a:noFill/>
            </a:ln>
            <a:effectLst/>
          </c:spPr>
          <c:invertIfNegative val="0"/>
          <c:val>
            <c:numRef>
              <c:f>'Fig 13 OMA taux de captage CS'!#REF!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 13 OMA taux de captage CS'!#REF!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13 OMA taux de captage CS'!#REF!</c15:sqref>
                        </c15:formulaRef>
                      </c:ext>
                    </c:extLst>
                  </c:multiLvlStrRef>
                </c15:cat>
              </c15:filteredCategoryTitle>
            </c:ext>
            <c:ext xmlns:c16="http://schemas.microsoft.com/office/drawing/2014/chart" uri="{C3380CC4-5D6E-409C-BE32-E72D297353CC}">
              <c16:uniqueId val="{00000003-2C83-4270-B8F8-652E28A2BAEB}"/>
            </c:ext>
          </c:extLst>
        </c:ser>
        <c:dLbls>
          <c:showLegendKey val="0"/>
          <c:showVal val="0"/>
          <c:showCatName val="0"/>
          <c:showSerName val="0"/>
          <c:showPercent val="0"/>
          <c:showBubbleSize val="0"/>
        </c:dLbls>
        <c:gapWidth val="150"/>
        <c:overlap val="100"/>
        <c:axId val="119385088"/>
        <c:axId val="121684736"/>
      </c:barChart>
      <c:catAx>
        <c:axId val="11938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684736"/>
        <c:crosses val="autoZero"/>
        <c:auto val="1"/>
        <c:lblAlgn val="ctr"/>
        <c:lblOffset val="100"/>
        <c:noMultiLvlLbl val="0"/>
      </c:catAx>
      <c:valAx>
        <c:axId val="121684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385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8A-4A9E-944D-3E066A18F4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8A-4A9E-944D-3E066A18F4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8A-4A9E-944D-3E066A18F45A}"/>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r-F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 21'!$A$4:$A$6</c:f>
              <c:strCache>
                <c:ptCount val="3"/>
                <c:pt idx="0">
                  <c:v>Benne Tout-venant</c:v>
                </c:pt>
                <c:pt idx="1">
                  <c:v>Benne Bois</c:v>
                </c:pt>
                <c:pt idx="2">
                  <c:v>Benne DEA</c:v>
                </c:pt>
              </c:strCache>
            </c:strRef>
          </c:cat>
          <c:val>
            <c:numRef>
              <c:f>'Fig 21'!$D$4:$D$6</c:f>
              <c:numCache>
                <c:formatCode>#,##0</c:formatCode>
                <c:ptCount val="3"/>
                <c:pt idx="0">
                  <c:v>510995</c:v>
                </c:pt>
                <c:pt idx="1">
                  <c:v>1164723</c:v>
                </c:pt>
                <c:pt idx="2">
                  <c:v>306811</c:v>
                </c:pt>
              </c:numCache>
            </c:numRef>
          </c:val>
          <c:extLst>
            <c:ext xmlns:c16="http://schemas.microsoft.com/office/drawing/2014/chart" uri="{C3380CC4-5D6E-409C-BE32-E72D297353CC}">
              <c16:uniqueId val="{00000000-B7DA-4346-99AE-8E18D0C4351D}"/>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i="0"/>
              <a:t>Taux</a:t>
            </a:r>
            <a:r>
              <a:rPr lang="fr-FR" sz="1200" i="0" baseline="0"/>
              <a:t> de bois dans le flux tout-venant en fonction des configurations de déchèteries</a:t>
            </a:r>
            <a:endParaRPr lang="fr-FR" sz="1200" i="0"/>
          </a:p>
        </c:rich>
      </c:tx>
      <c:layout>
        <c:manualLayout>
          <c:xMode val="edge"/>
          <c:yMode val="edge"/>
          <c:x val="0.16324516653728144"/>
          <c:y val="0.820679886595015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0473365125134"/>
          <c:y val="9.9502405949256342E-2"/>
          <c:w val="0.84326475915862609"/>
          <c:h val="0.56417395742198895"/>
        </c:manualLayout>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f>[1]Feuil2!$D$3:$D$9</c:f>
                <c:numCache>
                  <c:formatCode>General</c:formatCode>
                  <c:ptCount val="7"/>
                  <c:pt idx="0">
                    <c:v>0.11</c:v>
                  </c:pt>
                  <c:pt idx="1">
                    <c:v>3.73E-2</c:v>
                  </c:pt>
                  <c:pt idx="2">
                    <c:v>3.8900000000000004E-2</c:v>
                  </c:pt>
                  <c:pt idx="4">
                    <c:v>0.11</c:v>
                  </c:pt>
                  <c:pt idx="5">
                    <c:v>9.8000000000000004E-2</c:v>
                  </c:pt>
                  <c:pt idx="6">
                    <c:v>3.8900000000000004E-2</c:v>
                  </c:pt>
                </c:numCache>
              </c:numRef>
            </c:plus>
            <c:minus>
              <c:numRef>
                <c:f>[1]Feuil2!$D$3:$D$9</c:f>
                <c:numCache>
                  <c:formatCode>General</c:formatCode>
                  <c:ptCount val="7"/>
                  <c:pt idx="0">
                    <c:v>0.11</c:v>
                  </c:pt>
                  <c:pt idx="1">
                    <c:v>3.73E-2</c:v>
                  </c:pt>
                  <c:pt idx="2">
                    <c:v>3.8900000000000004E-2</c:v>
                  </c:pt>
                  <c:pt idx="4">
                    <c:v>0.11</c:v>
                  </c:pt>
                  <c:pt idx="5">
                    <c:v>9.8000000000000004E-2</c:v>
                  </c:pt>
                  <c:pt idx="6">
                    <c:v>3.8900000000000004E-2</c:v>
                  </c:pt>
                </c:numCache>
              </c:numRef>
            </c:minus>
            <c:spPr>
              <a:noFill/>
              <a:ln w="9525" cap="flat" cmpd="sng" algn="ctr">
                <a:solidFill>
                  <a:schemeClr val="tx1">
                    <a:lumMod val="65000"/>
                    <a:lumOff val="35000"/>
                  </a:schemeClr>
                </a:solidFill>
                <a:round/>
              </a:ln>
              <a:effectLst/>
            </c:spPr>
          </c:errBars>
          <c:cat>
            <c:strRef>
              <c:f>[1]Feuil2!$A$3:$A$9</c:f>
              <c:strCache>
                <c:ptCount val="7"/>
                <c:pt idx="0">
                  <c:v>Déchèteries sans benne bois ni DEA</c:v>
                </c:pt>
                <c:pt idx="1">
                  <c:v>Déchèteries avec benne bois et sans benne DEA</c:v>
                </c:pt>
                <c:pt idx="2">
                  <c:v>Déchèteries avec benne bois et benne DEA</c:v>
                </c:pt>
                <c:pt idx="4">
                  <c:v>Déchèteries sans benne bois ni DEA</c:v>
                </c:pt>
                <c:pt idx="5">
                  <c:v>Déchèteries sans benne bois et avec benne DEA</c:v>
                </c:pt>
                <c:pt idx="6">
                  <c:v>Déchèteries avec benne bois et benne DEA</c:v>
                </c:pt>
              </c:strCache>
            </c:strRef>
          </c:cat>
          <c:val>
            <c:numRef>
              <c:f>[1]Feuil2!$C$3:$C$9</c:f>
              <c:numCache>
                <c:formatCode>General</c:formatCode>
                <c:ptCount val="7"/>
                <c:pt idx="0">
                  <c:v>0.42399999999999999</c:v>
                </c:pt>
                <c:pt idx="1">
                  <c:v>9.6199999999999994E-2</c:v>
                </c:pt>
                <c:pt idx="2">
                  <c:v>0.1075</c:v>
                </c:pt>
                <c:pt idx="4">
                  <c:v>0.42399999999999999</c:v>
                </c:pt>
                <c:pt idx="5">
                  <c:v>0.3425586902463526</c:v>
                </c:pt>
                <c:pt idx="6">
                  <c:v>0.1075</c:v>
                </c:pt>
              </c:numCache>
            </c:numRef>
          </c:val>
          <c:extLst>
            <c:ext xmlns:c16="http://schemas.microsoft.com/office/drawing/2014/chart" uri="{C3380CC4-5D6E-409C-BE32-E72D297353CC}">
              <c16:uniqueId val="{00000000-FB03-4B1F-99E6-E2457874FB68}"/>
            </c:ext>
          </c:extLst>
        </c:ser>
        <c:dLbls>
          <c:showLegendKey val="0"/>
          <c:showVal val="0"/>
          <c:showCatName val="0"/>
          <c:showSerName val="0"/>
          <c:showPercent val="0"/>
          <c:showBubbleSize val="0"/>
        </c:dLbls>
        <c:gapWidth val="219"/>
        <c:overlap val="-27"/>
        <c:axId val="86907936"/>
        <c:axId val="355151472"/>
      </c:barChart>
      <c:catAx>
        <c:axId val="8690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5151472"/>
        <c:crosses val="autoZero"/>
        <c:auto val="1"/>
        <c:lblAlgn val="ctr"/>
        <c:lblOffset val="100"/>
        <c:noMultiLvlLbl val="0"/>
      </c:catAx>
      <c:valAx>
        <c:axId val="355151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907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v>Déchets putrescibles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9D-4CCF-B74B-225AE37AF2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9D-4CCF-B74B-225AE37AF2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9D-4CCF-B74B-225AE37AF2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9D-4CCF-B74B-225AE37AF2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9D-4CCF-B74B-225AE37AF265}"/>
              </c:ext>
            </c:extLst>
          </c:dPt>
          <c:dLbls>
            <c:dLbl>
              <c:idx val="0"/>
              <c:layout>
                <c:manualLayout>
                  <c:x val="6.5651387601202094E-2"/>
                  <c:y val="-0.151316350348655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29D-4CCF-B74B-225AE37AF265}"/>
                </c:ext>
              </c:extLst>
            </c:dLbl>
            <c:dLbl>
              <c:idx val="1"/>
              <c:layout>
                <c:manualLayout>
                  <c:x val="-3.3070002435051406E-2"/>
                  <c:y val="-3.29730659329029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29D-4CCF-B74B-225AE37AF265}"/>
                </c:ext>
              </c:extLst>
            </c:dLbl>
            <c:dLbl>
              <c:idx val="2"/>
              <c:layout>
                <c:manualLayout>
                  <c:x val="-0.11632569644739608"/>
                  <c:y val="0.1646216971813595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29D-4CCF-B74B-225AE37AF265}"/>
                </c:ext>
              </c:extLst>
            </c:dLbl>
            <c:dLbl>
              <c:idx val="3"/>
              <c:layout>
                <c:manualLayout>
                  <c:x val="-6.009793897851861E-2"/>
                  <c:y val="-1.70153220211427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29D-4CCF-B74B-225AE37AF265}"/>
                </c:ext>
              </c:extLst>
            </c:dLbl>
            <c:dLbl>
              <c:idx val="4"/>
              <c:layout>
                <c:manualLayout>
                  <c:x val="-9.3132871379373455E-2"/>
                  <c:y val="-5.770231417786714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29D-4CCF-B74B-225AE37AF265}"/>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catégories'!$A$8:$A$12</c:f>
              <c:strCache>
                <c:ptCount val="5"/>
                <c:pt idx="0">
                  <c:v>Déchets alimentaires</c:v>
                </c:pt>
                <c:pt idx="1">
                  <c:v>Produits alimentaires non consommés</c:v>
                </c:pt>
                <c:pt idx="2">
                  <c:v>Produits alimentaires non consommés sous emballage</c:v>
                </c:pt>
                <c:pt idx="3">
                  <c:v>Autres putrescibles</c:v>
                </c:pt>
                <c:pt idx="4">
                  <c:v>Déchets de jardin</c:v>
                </c:pt>
              </c:strCache>
            </c:strRef>
          </c:cat>
          <c:val>
            <c:numRef>
              <c:f>'Fig 4 OMR compo des catégories'!$B$8:$B$12</c:f>
              <c:numCache>
                <c:formatCode>0.0</c:formatCode>
                <c:ptCount val="5"/>
                <c:pt idx="0">
                  <c:v>14.968812541599858</c:v>
                </c:pt>
                <c:pt idx="1">
                  <c:v>9.0872169675003356</c:v>
                </c:pt>
                <c:pt idx="2">
                  <c:v>2.3717188467009778</c:v>
                </c:pt>
                <c:pt idx="3">
                  <c:v>1.5937666197618792</c:v>
                </c:pt>
                <c:pt idx="4">
                  <c:v>4.7376177219233329</c:v>
                </c:pt>
              </c:numCache>
            </c:numRef>
          </c:val>
          <c:extLst>
            <c:ext xmlns:c16="http://schemas.microsoft.com/office/drawing/2014/chart" uri="{C3380CC4-5D6E-409C-BE32-E72D297353CC}">
              <c16:uniqueId val="{00000000-060D-49AA-87F9-6DF5F050FF4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Papiers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81-416F-96BF-06E4055F68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81-416F-96BF-06E4055F68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81-416F-96BF-06E4055F68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81-416F-96BF-06E4055F68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81-416F-96BF-06E4055F68FC}"/>
              </c:ext>
            </c:extLst>
          </c:dPt>
          <c:dLbls>
            <c:dLbl>
              <c:idx val="0"/>
              <c:layout>
                <c:manualLayout>
                  <c:x val="0.21986642900914288"/>
                  <c:y val="7.75646013728235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81-416F-96BF-06E4055F68FC}"/>
                </c:ext>
              </c:extLst>
            </c:dLbl>
            <c:dLbl>
              <c:idx val="1"/>
              <c:layout>
                <c:manualLayout>
                  <c:x val="0.16005693576755251"/>
                  <c:y val="3.87029600620241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81-416F-96BF-06E4055F68FC}"/>
                </c:ext>
              </c:extLst>
            </c:dLbl>
            <c:dLbl>
              <c:idx val="2"/>
              <c:layout>
                <c:manualLayout>
                  <c:x val="0.18244821896778887"/>
                  <c:y val="-2.115998477795984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81-416F-96BF-06E4055F68FC}"/>
                </c:ext>
              </c:extLst>
            </c:dLbl>
            <c:dLbl>
              <c:idx val="3"/>
              <c:layout>
                <c:manualLayout>
                  <c:x val="-8.7136872191690098E-2"/>
                  <c:y val="0.122794792131114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81-416F-96BF-06E4055F68FC}"/>
                </c:ext>
              </c:extLst>
            </c:dLbl>
            <c:dLbl>
              <c:idx val="4"/>
              <c:layout>
                <c:manualLayout>
                  <c:x val="-0.20137905708749221"/>
                  <c:y val="0.1025208664067181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581-416F-96BF-06E4055F68FC}"/>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catégories'!$A$13:$A$17</c:f>
              <c:strCache>
                <c:ptCount val="5"/>
                <c:pt idx="0">
                  <c:v>Emballages papiers</c:v>
                </c:pt>
                <c:pt idx="1">
                  <c:v>JRM</c:v>
                </c:pt>
                <c:pt idx="2">
                  <c:v>Imprimés publicitaires</c:v>
                </c:pt>
                <c:pt idx="3">
                  <c:v>Papiers bureautiques</c:v>
                </c:pt>
                <c:pt idx="4">
                  <c:v>Autres papiers</c:v>
                </c:pt>
              </c:strCache>
            </c:strRef>
          </c:cat>
          <c:val>
            <c:numRef>
              <c:f>'Fig 4 OMR compo des catégories'!$B$13:$B$17</c:f>
              <c:numCache>
                <c:formatCode>0.0</c:formatCode>
                <c:ptCount val="5"/>
                <c:pt idx="0">
                  <c:v>1.2211940799489098</c:v>
                </c:pt>
                <c:pt idx="1">
                  <c:v>1.5761478039004708</c:v>
                </c:pt>
                <c:pt idx="2">
                  <c:v>2.5942872220607054</c:v>
                </c:pt>
                <c:pt idx="3">
                  <c:v>2.0621787844745323</c:v>
                </c:pt>
                <c:pt idx="4">
                  <c:v>1.159001261537715</c:v>
                </c:pt>
              </c:numCache>
            </c:numRef>
          </c:val>
          <c:extLst>
            <c:ext xmlns:c16="http://schemas.microsoft.com/office/drawing/2014/chart" uri="{C3380CC4-5D6E-409C-BE32-E72D297353CC}">
              <c16:uniqueId val="{0000000A-C581-416F-96BF-06E4055F68FC}"/>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Cartons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93-4ECF-BB07-9EFE228CD6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93-4ECF-BB07-9EFE228CD6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93-4ECF-BB07-9EFE228CD6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93-4ECF-BB07-9EFE228CD6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93-4ECF-BB07-9EFE228CD6D0}"/>
              </c:ext>
            </c:extLst>
          </c:dPt>
          <c:dLbls>
            <c:dLbl>
              <c:idx val="0"/>
              <c:layout>
                <c:manualLayout>
                  <c:x val="7.5256760649336507E-2"/>
                  <c:y val="-0.1095279593022385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893-4ECF-BB07-9EFE228CD6D0}"/>
                </c:ext>
              </c:extLst>
            </c:dLbl>
            <c:dLbl>
              <c:idx val="1"/>
              <c:layout>
                <c:manualLayout>
                  <c:x val="-6.6492597197017528E-2"/>
                  <c:y val="0.117496894469093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893-4ECF-BB07-9EFE228CD6D0}"/>
                </c:ext>
              </c:extLst>
            </c:dLbl>
            <c:dLbl>
              <c:idx val="2"/>
              <c:layout>
                <c:manualLayout>
                  <c:x val="-0.23332131806342135"/>
                  <c:y val="0.1252614020264524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893-4ECF-BB07-9EFE228CD6D0}"/>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catégories'!$A$18:$A$20</c:f>
              <c:strCache>
                <c:ptCount val="3"/>
                <c:pt idx="0">
                  <c:v>Emballages cartons plats</c:v>
                </c:pt>
                <c:pt idx="1">
                  <c:v>Emballages cartons ondules</c:v>
                </c:pt>
                <c:pt idx="2">
                  <c:v>Autres cartons</c:v>
                </c:pt>
              </c:strCache>
            </c:strRef>
          </c:cat>
          <c:val>
            <c:numRef>
              <c:f>'Fig 4 OMR compo des catégories'!$B$18:$B$20</c:f>
              <c:numCache>
                <c:formatCode>0.0</c:formatCode>
                <c:ptCount val="3"/>
                <c:pt idx="0">
                  <c:v>3.5779422187965615</c:v>
                </c:pt>
                <c:pt idx="1">
                  <c:v>2.575068168328607</c:v>
                </c:pt>
                <c:pt idx="2">
                  <c:v>0.25506110296009071</c:v>
                </c:pt>
              </c:numCache>
            </c:numRef>
          </c:val>
          <c:extLst>
            <c:ext xmlns:c16="http://schemas.microsoft.com/office/drawing/2014/chart" uri="{C3380CC4-5D6E-409C-BE32-E72D297353CC}">
              <c16:uniqueId val="{0000000A-D893-4ECF-BB07-9EFE228CD6D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Composites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07-46CB-BAAF-3B9340FAEED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07-46CB-BAAF-3B9340FAEED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07-46CB-BAAF-3B9340FAEED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07-46CB-BAAF-3B9340FAEED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07-46CB-BAAF-3B9340FAEED9}"/>
              </c:ext>
            </c:extLst>
          </c:dPt>
          <c:dLbls>
            <c:dLbl>
              <c:idx val="0"/>
              <c:layout>
                <c:manualLayout>
                  <c:x val="8.233273040864382E-2"/>
                  <c:y val="8.11046818608720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D07-46CB-BAAF-3B9340FAEED9}"/>
                </c:ext>
              </c:extLst>
            </c:dLbl>
            <c:dLbl>
              <c:idx val="1"/>
              <c:layout>
                <c:manualLayout>
                  <c:x val="0.18797220932070638"/>
                  <c:y val="-2.27962198207161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D07-46CB-BAAF-3B9340FAEED9}"/>
                </c:ext>
              </c:extLst>
            </c:dLbl>
            <c:dLbl>
              <c:idx val="2"/>
              <c:layout>
                <c:manualLayout>
                  <c:x val="-0.12678222473543968"/>
                  <c:y val="8.56876422856072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07-46CB-BAAF-3B9340FAEED9}"/>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catégories'!$A$21:$A$23</c:f>
              <c:strCache>
                <c:ptCount val="3"/>
                <c:pt idx="0">
                  <c:v>Emballages de liquides alimentaires</c:v>
                </c:pt>
                <c:pt idx="1">
                  <c:v>Autres emballages composites</c:v>
                </c:pt>
                <c:pt idx="2">
                  <c:v>PAM</c:v>
                </c:pt>
              </c:strCache>
            </c:strRef>
          </c:cat>
          <c:val>
            <c:numRef>
              <c:f>'Fig 4 OMR compo des catégories'!$B$21:$B$23</c:f>
              <c:numCache>
                <c:formatCode>0.0</c:formatCode>
                <c:ptCount val="3"/>
                <c:pt idx="0">
                  <c:v>0.52631796710449219</c:v>
                </c:pt>
                <c:pt idx="1">
                  <c:v>1.085779799887733</c:v>
                </c:pt>
                <c:pt idx="2">
                  <c:v>0.72517072942606764</c:v>
                </c:pt>
              </c:numCache>
            </c:numRef>
          </c:val>
          <c:extLst>
            <c:ext xmlns:c16="http://schemas.microsoft.com/office/drawing/2014/chart" uri="{C3380CC4-5D6E-409C-BE32-E72D297353CC}">
              <c16:uniqueId val="{0000000A-7D07-46CB-BAAF-3B9340FAEED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Textiles sanitaires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11-4BBC-8DD0-CCA6F8DDA7D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11-4BBC-8DD0-CCA6F8DDA7D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11-4BBC-8DD0-CCA6F8DDA7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11-4BBC-8DD0-CCA6F8DDA7D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11-4BBC-8DD0-CCA6F8DDA7DF}"/>
              </c:ext>
            </c:extLst>
          </c:dPt>
          <c:dLbls>
            <c:dLbl>
              <c:idx val="0"/>
              <c:layout>
                <c:manualLayout>
                  <c:x val="0.11446467257200535"/>
                  <c:y val="-6.552844285702269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211-4BBC-8DD0-CCA6F8DDA7DF}"/>
                </c:ext>
              </c:extLst>
            </c:dLbl>
            <c:dLbl>
              <c:idx val="1"/>
              <c:layout>
                <c:manualLayout>
                  <c:x val="0.14392911300890845"/>
                  <c:y val="-2.1847080674611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211-4BBC-8DD0-CCA6F8DDA7DF}"/>
                </c:ext>
              </c:extLst>
            </c:dLbl>
            <c:dLbl>
              <c:idx val="2"/>
              <c:layout>
                <c:manualLayout>
                  <c:x val="-6.779959423166243E-2"/>
                  <c:y val="6.20485322464037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211-4BBC-8DD0-CCA6F8DDA7DF}"/>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catégories'!$A$25:$A$27</c:f>
              <c:strCache>
                <c:ptCount val="3"/>
                <c:pt idx="0">
                  <c:v>Couches bébé</c:v>
                </c:pt>
                <c:pt idx="1">
                  <c:v>Autre fraction hygiénique</c:v>
                </c:pt>
                <c:pt idx="2">
                  <c:v>Fraction papiers souillés</c:v>
                </c:pt>
              </c:strCache>
            </c:strRef>
          </c:cat>
          <c:val>
            <c:numRef>
              <c:f>'Fig 4 OMR compo des catégories'!$B$25:$B$27</c:f>
              <c:numCache>
                <c:formatCode>0.0</c:formatCode>
                <c:ptCount val="3"/>
                <c:pt idx="0">
                  <c:v>4.211986715910526</c:v>
                </c:pt>
                <c:pt idx="1">
                  <c:v>3.0261267021666747</c:v>
                </c:pt>
                <c:pt idx="2">
                  <c:v>6.6747343527716794</c:v>
                </c:pt>
              </c:numCache>
            </c:numRef>
          </c:val>
          <c:extLst>
            <c:ext xmlns:c16="http://schemas.microsoft.com/office/drawing/2014/chart" uri="{C3380CC4-5D6E-409C-BE32-E72D297353CC}">
              <c16:uniqueId val="{0000000A-6211-4BBC-8DD0-CCA6F8DDA7D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Plastiques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64-465E-A95D-D71C512313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64-465E-A95D-D71C512313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64-465E-A95D-D71C512313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64-465E-A95D-D71C512313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B64-465E-A95D-D71C512313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F7-415C-BABA-72F9B57F9DA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F7-415C-BABA-72F9B57F9DA2}"/>
              </c:ext>
            </c:extLst>
          </c:dPt>
          <c:dLbls>
            <c:dLbl>
              <c:idx val="0"/>
              <c:layout>
                <c:manualLayout>
                  <c:x val="0.15908834054713461"/>
                  <c:y val="2.82817500741168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64-465E-A95D-D71C512313D3}"/>
                </c:ext>
              </c:extLst>
            </c:dLbl>
            <c:dLbl>
              <c:idx val="1"/>
              <c:layout>
                <c:manualLayout>
                  <c:x val="9.63672344086067E-2"/>
                  <c:y val="6.220576706483316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64-465E-A95D-D71C512313D3}"/>
                </c:ext>
              </c:extLst>
            </c:dLbl>
            <c:dLbl>
              <c:idx val="2"/>
              <c:layout>
                <c:manualLayout>
                  <c:x val="0.10655638710123318"/>
                  <c:y val="-0.1209658694309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64-465E-A95D-D71C512313D3}"/>
                </c:ext>
              </c:extLst>
            </c:dLbl>
            <c:dLbl>
              <c:idx val="3"/>
              <c:layout>
                <c:manualLayout>
                  <c:x val="0.24233594222047555"/>
                  <c:y val="-8.634022526457267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64-465E-A95D-D71C512313D3}"/>
                </c:ext>
              </c:extLst>
            </c:dLbl>
            <c:dLbl>
              <c:idx val="4"/>
              <c:layout>
                <c:manualLayout>
                  <c:x val="-0.12240656218776265"/>
                  <c:y val="-8.634022526457267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B64-465E-A95D-D71C512313D3}"/>
                </c:ext>
              </c:extLst>
            </c:dLbl>
            <c:dLbl>
              <c:idx val="5"/>
              <c:layout>
                <c:manualLayout>
                  <c:x val="-8.0322939923307857E-2"/>
                  <c:y val="-7.49170270796312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0F7-415C-BABA-72F9B57F9DA2}"/>
                </c:ext>
              </c:extLst>
            </c:dLbl>
            <c:dLbl>
              <c:idx val="6"/>
              <c:layout>
                <c:manualLayout>
                  <c:x val="-0.16618242604112615"/>
                  <c:y val="9.38006562723772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0F7-415C-BABA-72F9B57F9DA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catégories'!$A$28:$A$34</c:f>
              <c:strCache>
                <c:ptCount val="7"/>
                <c:pt idx="0">
                  <c:v>Sacs poubelles</c:v>
                </c:pt>
                <c:pt idx="1">
                  <c:v>Autres sacs plastiques</c:v>
                </c:pt>
                <c:pt idx="2">
                  <c:v>Autres films plastiques d'emballage</c:v>
                </c:pt>
                <c:pt idx="3">
                  <c:v>Bouteilles et flacons en PET</c:v>
                </c:pt>
                <c:pt idx="4">
                  <c:v>Bouteilles et flacons polyoléfines</c:v>
                </c:pt>
                <c:pt idx="5">
                  <c:v>Autres emballages plastiques</c:v>
                </c:pt>
                <c:pt idx="6">
                  <c:v>Autres plastiques</c:v>
                </c:pt>
              </c:strCache>
            </c:strRef>
          </c:cat>
          <c:val>
            <c:numRef>
              <c:f>'Fig 4 OMR compo des catégories'!$B$28:$B$34</c:f>
              <c:numCache>
                <c:formatCode>0.0</c:formatCode>
                <c:ptCount val="7"/>
                <c:pt idx="0">
                  <c:v>2.3429586342211279</c:v>
                </c:pt>
                <c:pt idx="1">
                  <c:v>0.78312789511459713</c:v>
                </c:pt>
                <c:pt idx="2">
                  <c:v>3.663387392189883</c:v>
                </c:pt>
                <c:pt idx="3">
                  <c:v>1.2030562219642862</c:v>
                </c:pt>
                <c:pt idx="4">
                  <c:v>0.55790952938181215</c:v>
                </c:pt>
                <c:pt idx="5">
                  <c:v>4.0067494456224102</c:v>
                </c:pt>
                <c:pt idx="6">
                  <c:v>2.1374708082236764</c:v>
                </c:pt>
              </c:numCache>
            </c:numRef>
          </c:val>
          <c:extLst>
            <c:ext xmlns:c16="http://schemas.microsoft.com/office/drawing/2014/chart" uri="{C3380CC4-5D6E-409C-BE32-E72D297353CC}">
              <c16:uniqueId val="{0000000A-8B64-465E-A95D-D71C512313D3}"/>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Combustibles non classés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71E-4EE7-AFE2-D0C1861BDC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71E-4EE7-AFE2-D0C1861BDC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71E-4EE7-AFE2-D0C1861BDC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71E-4EE7-AFE2-D0C1861BDC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71E-4EE7-AFE2-D0C1861BDC3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71E-4EE7-AFE2-D0C1861BDC3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71E-4EE7-AFE2-D0C1861BDC3B}"/>
              </c:ext>
            </c:extLst>
          </c:dPt>
          <c:dLbls>
            <c:dLbl>
              <c:idx val="0"/>
              <c:layout>
                <c:manualLayout>
                  <c:x val="0.19211314569163365"/>
                  <c:y val="0.100663493411129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71E-4EE7-AFE2-D0C1861BDC3B}"/>
                </c:ext>
              </c:extLst>
            </c:dLbl>
            <c:dLbl>
              <c:idx val="1"/>
              <c:layout>
                <c:manualLayout>
                  <c:x val="0.10472203812321627"/>
                  <c:y val="0.276492318252842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71E-4EE7-AFE2-D0C1861BDC3B}"/>
                </c:ext>
              </c:extLst>
            </c:dLbl>
            <c:dLbl>
              <c:idx val="2"/>
              <c:layout>
                <c:manualLayout>
                  <c:x val="9.0455408340998494E-2"/>
                  <c:y val="0.287095929261089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71E-4EE7-AFE2-D0C1861BDC3B}"/>
                </c:ext>
              </c:extLst>
            </c:dLbl>
            <c:dLbl>
              <c:idx val="3"/>
              <c:layout>
                <c:manualLayout>
                  <c:x val="-8.9190458634848716E-2"/>
                  <c:y val="-0.306154249121634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71E-4EE7-AFE2-D0C1861BDC3B}"/>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'Fig 4 OMR compo des catégories'!$A$35:$A$38</c:f>
              <c:strCache>
                <c:ptCount val="4"/>
                <c:pt idx="0">
                  <c:v>Emballage en bois</c:v>
                </c:pt>
                <c:pt idx="1">
                  <c:v>Chaussures</c:v>
                </c:pt>
                <c:pt idx="2">
                  <c:v>Maroquinerie</c:v>
                </c:pt>
                <c:pt idx="3">
                  <c:v>Autres combustibles</c:v>
                </c:pt>
              </c:strCache>
            </c:strRef>
          </c:cat>
          <c:val>
            <c:numRef>
              <c:f>'Fig 4 OMR compo des catégories'!$B$35:$B$38</c:f>
              <c:numCache>
                <c:formatCode>0.0</c:formatCode>
                <c:ptCount val="4"/>
                <c:pt idx="0">
                  <c:v>0.31819288171924887</c:v>
                </c:pt>
                <c:pt idx="1">
                  <c:v>0.738607255928453</c:v>
                </c:pt>
                <c:pt idx="2">
                  <c:v>0.21000489256590713</c:v>
                </c:pt>
                <c:pt idx="3">
                  <c:v>3.3035669552523954</c:v>
                </c:pt>
              </c:numCache>
            </c:numRef>
          </c:val>
          <c:extLst>
            <c:ext xmlns:c16="http://schemas.microsoft.com/office/drawing/2014/chart" uri="{C3380CC4-5D6E-409C-BE32-E72D297353CC}">
              <c16:uniqueId val="{0000000E-C71E-4EE7-AFE2-D0C1861BDC3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3</xdr:col>
      <xdr:colOff>533400</xdr:colOff>
      <xdr:row>11</xdr:row>
      <xdr:rowOff>0</xdr:rowOff>
    </xdr:from>
    <xdr:to>
      <xdr:col>8</xdr:col>
      <xdr:colOff>723900</xdr:colOff>
      <xdr:row>25</xdr:row>
      <xdr:rowOff>114300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11905</xdr:colOff>
      <xdr:row>1</xdr:row>
      <xdr:rowOff>0</xdr:rowOff>
    </xdr:from>
    <xdr:to>
      <xdr:col>8</xdr:col>
      <xdr:colOff>1000123</xdr:colOff>
      <xdr:row>18</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600074</xdr:colOff>
      <xdr:row>4</xdr:row>
      <xdr:rowOff>323850</xdr:rowOff>
    </xdr:from>
    <xdr:to>
      <xdr:col>6</xdr:col>
      <xdr:colOff>114299</xdr:colOff>
      <xdr:row>21</xdr:row>
      <xdr:rowOff>114300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904875</xdr:colOff>
      <xdr:row>15</xdr:row>
      <xdr:rowOff>142874</xdr:rowOff>
    </xdr:from>
    <xdr:to>
      <xdr:col>3</xdr:col>
      <xdr:colOff>1019175</xdr:colOff>
      <xdr:row>34</xdr:row>
      <xdr:rowOff>28574</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119063</xdr:colOff>
      <xdr:row>1</xdr:row>
      <xdr:rowOff>59530</xdr:rowOff>
    </xdr:from>
    <xdr:to>
      <xdr:col>9</xdr:col>
      <xdr:colOff>240506</xdr:colOff>
      <xdr:row>30</xdr:row>
      <xdr:rowOff>166688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1095375</xdr:colOff>
      <xdr:row>0</xdr:row>
      <xdr:rowOff>0</xdr:rowOff>
    </xdr:from>
    <xdr:to>
      <xdr:col>22</xdr:col>
      <xdr:colOff>559594</xdr:colOff>
      <xdr:row>21</xdr:row>
      <xdr:rowOff>130969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85725</xdr:colOff>
      <xdr:row>1</xdr:row>
      <xdr:rowOff>111125</xdr:rowOff>
    </xdr:from>
    <xdr:to>
      <xdr:col>11</xdr:col>
      <xdr:colOff>85725</xdr:colOff>
      <xdr:row>18</xdr:row>
      <xdr:rowOff>149225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76200</xdr:colOff>
      <xdr:row>25</xdr:row>
      <xdr:rowOff>109538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668074</xdr:colOff>
      <xdr:row>20</xdr:row>
      <xdr:rowOff>24078</xdr:rowOff>
    </xdr:from>
    <xdr:to>
      <xdr:col>16</xdr:col>
      <xdr:colOff>275167</xdr:colOff>
      <xdr:row>39</xdr:row>
      <xdr:rowOff>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409372</xdr:colOff>
      <xdr:row>9</xdr:row>
      <xdr:rowOff>17294</xdr:rowOff>
    </xdr:from>
    <xdr:to>
      <xdr:col>15</xdr:col>
      <xdr:colOff>364788</xdr:colOff>
      <xdr:row>23</xdr:row>
      <xdr:rowOff>71606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445850</xdr:colOff>
      <xdr:row>24</xdr:row>
      <xdr:rowOff>81063</xdr:rowOff>
    </xdr:from>
    <xdr:to>
      <xdr:col>15</xdr:col>
      <xdr:colOff>364787</xdr:colOff>
      <xdr:row>39</xdr:row>
      <xdr:rowOff>40531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285751</xdr:colOff>
      <xdr:row>40</xdr:row>
      <xdr:rowOff>68481</xdr:rowOff>
    </xdr:from>
    <xdr:to>
      <xdr:col>15</xdr:col>
      <xdr:colOff>476251</xdr:colOff>
      <xdr:row>55</xdr:row>
      <xdr:rowOff>10583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724843</xdr:colOff>
      <xdr:row>8</xdr:row>
      <xdr:rowOff>24047</xdr:rowOff>
    </xdr:from>
    <xdr:to>
      <xdr:col>22</xdr:col>
      <xdr:colOff>508674</xdr:colOff>
      <xdr:row>23</xdr:row>
      <xdr:rowOff>16888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25</xdr:row>
      <xdr:rowOff>0</xdr:rowOff>
    </xdr:from>
    <xdr:to>
      <xdr:col>22</xdr:col>
      <xdr:colOff>662021</xdr:colOff>
      <xdr:row>39</xdr:row>
      <xdr:rowOff>67553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719667</xdr:colOff>
      <xdr:row>40</xdr:row>
      <xdr:rowOff>52915</xdr:rowOff>
    </xdr:from>
    <xdr:to>
      <xdr:col>23</xdr:col>
      <xdr:colOff>222251</xdr:colOff>
      <xdr:row>53</xdr:row>
      <xdr:rowOff>169332</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0</xdr:colOff>
      <xdr:row>9</xdr:row>
      <xdr:rowOff>0</xdr:rowOff>
    </xdr:from>
    <xdr:to>
      <xdr:col>31</xdr:col>
      <xdr:colOff>337767</xdr:colOff>
      <xdr:row>23</xdr:row>
      <xdr:rowOff>100925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328647</xdr:colOff>
      <xdr:row>40</xdr:row>
      <xdr:rowOff>151826</xdr:rowOff>
    </xdr:from>
    <xdr:to>
      <xdr:col>30</xdr:col>
      <xdr:colOff>671818</xdr:colOff>
      <xdr:row>55</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499895</xdr:colOff>
      <xdr:row>24</xdr:row>
      <xdr:rowOff>121594</xdr:rowOff>
    </xdr:from>
    <xdr:to>
      <xdr:col>31</xdr:col>
      <xdr:colOff>81066</xdr:colOff>
      <xdr:row>39</xdr:row>
      <xdr:rowOff>33371</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31</xdr:col>
      <xdr:colOff>709083</xdr:colOff>
      <xdr:row>8</xdr:row>
      <xdr:rowOff>63500</xdr:rowOff>
    </xdr:from>
    <xdr:to>
      <xdr:col>39</xdr:col>
      <xdr:colOff>284850</xdr:colOff>
      <xdr:row>22</xdr:row>
      <xdr:rowOff>164425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32</xdr:col>
      <xdr:colOff>0</xdr:colOff>
      <xdr:row>25</xdr:row>
      <xdr:rowOff>0</xdr:rowOff>
    </xdr:from>
    <xdr:to>
      <xdr:col>39</xdr:col>
      <xdr:colOff>337767</xdr:colOff>
      <xdr:row>39</xdr:row>
      <xdr:rowOff>100925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481010</xdr:colOff>
      <xdr:row>15</xdr:row>
      <xdr:rowOff>166687</xdr:rowOff>
    </xdr:from>
    <xdr:to>
      <xdr:col>9</xdr:col>
      <xdr:colOff>552449</xdr:colOff>
      <xdr:row>33</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484186</xdr:colOff>
      <xdr:row>20</xdr:row>
      <xdr:rowOff>123293</xdr:rowOff>
    </xdr:from>
    <xdr:to>
      <xdr:col>15</xdr:col>
      <xdr:colOff>261937</xdr:colOff>
      <xdr:row>39</xdr:row>
      <xdr:rowOff>83344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559593</xdr:colOff>
      <xdr:row>20</xdr:row>
      <xdr:rowOff>0</xdr:rowOff>
    </xdr:from>
    <xdr:to>
      <xdr:col>14</xdr:col>
      <xdr:colOff>404812</xdr:colOff>
      <xdr:row>41</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0.88813</cdr:x>
      <cdr:y>0.05079</cdr:y>
    </cdr:from>
    <cdr:to>
      <cdr:x>0.9924</cdr:x>
      <cdr:y>0.0866</cdr:y>
    </cdr:to>
    <cdr:sp macro="" textlink="">
      <cdr:nvSpPr>
        <cdr:cNvPr id="2" name="ZoneTexte 1"/>
        <cdr:cNvSpPr txBox="1"/>
      </cdr:nvSpPr>
      <cdr:spPr>
        <a:xfrm xmlns:a="http://schemas.openxmlformats.org/drawingml/2006/main">
          <a:off x="6460889" y="270113"/>
          <a:ext cx="758528" cy="190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kg/hab/an</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85047</xdr:colOff>
      <xdr:row>1</xdr:row>
      <xdr:rowOff>40821</xdr:rowOff>
    </xdr:from>
    <xdr:to>
      <xdr:col>10</xdr:col>
      <xdr:colOff>680358</xdr:colOff>
      <xdr:row>20</xdr:row>
      <xdr:rowOff>54429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217714</xdr:colOff>
      <xdr:row>2</xdr:row>
      <xdr:rowOff>159203</xdr:rowOff>
    </xdr:from>
    <xdr:to>
      <xdr:col>14</xdr:col>
      <xdr:colOff>108858</xdr:colOff>
      <xdr:row>18</xdr:row>
      <xdr:rowOff>163284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platsr/OneDrive%20-%20ADEMEBox/Modecom%202017%20-%20Analyse%20des%20r&#233;sultats/Restitutions%20d&#233;ch&#232;teries/Extraction_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ERVICES\SMVD\ECHANGES\Rafaelle\MODECOM\Modecom%202017\R&#233;sultats%202017\Doc%20annexe%20rap%20final%20d&#233;taill&#233;\step_18_3_Composition_100_CS_SINOE%20RD_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CD"/>
      <sheetName val="Exploits_collecte"/>
      <sheetName val="Feuil5"/>
      <sheetName val="Feuil1"/>
      <sheetName val="MAE"/>
      <sheetName val="M"/>
      <sheetName val="Compo_typo_SC_MAE_1a"/>
      <sheetName val="Compo_typo_SC_M_1a"/>
      <sheetName val="Compo_typo_SC_MAE_1b"/>
      <sheetName val="Compo_typo_SC_M_1b"/>
      <sheetName val="Compo_typo_SC_MAE_2a"/>
      <sheetName val="Compo_typo_SC_M_2a"/>
      <sheetName val="Compo_typo_SC_MAE_2b"/>
      <sheetName val="Compo_typo_SC_M_2b"/>
      <sheetName val="Compo_typo_SC_MAE_3a"/>
      <sheetName val="Compo_typo_SC_M_3a"/>
      <sheetName val="Compo_typo_SC_MAE_3b"/>
      <sheetName val="Compo_typo_SC_M_3b"/>
      <sheetName val="Composition_SC_MAE_typos"/>
      <sheetName val="Composition_SC_M_typos"/>
      <sheetName val="Composition SC_DT_France"/>
      <sheetName val="Compo_nationale_np-reventil"/>
      <sheetName val="Compo_nationale_CAT"/>
      <sheetName val="Compo_flux_MAE"/>
      <sheetName val="Compo_flux_M"/>
      <sheetName val="Compo_flux_typo"/>
      <sheetName val="Compo_flux_TOT"/>
      <sheetName val="Compo_flux_TV"/>
      <sheetName val="Compo_flux_Bois"/>
      <sheetName val="Compo_flux_Métaux"/>
      <sheetName val="Compo_flux_Plastiques"/>
      <sheetName val="Compo_flux_DEA"/>
      <sheetName val="Compo_MMAE_typo"/>
      <sheetName val="Analyses_MMAE_typo"/>
      <sheetName val="Analyses_MMAE_typo1"/>
      <sheetName val="Analyses_MMAE_typo2"/>
      <sheetName val="Analyses_typo_Bois"/>
      <sheetName val="Feuil2"/>
      <sheetName val="Correspondances_flux_comp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A3" t="str">
            <v>Déchèteries sans benne bois ni DEA</v>
          </cell>
          <cell r="C3">
            <v>0.42399999999999999</v>
          </cell>
          <cell r="D3">
            <v>0.11</v>
          </cell>
        </row>
        <row r="4">
          <cell r="A4" t="str">
            <v>Déchèteries avec benne bois et sans benne DEA</v>
          </cell>
          <cell r="C4">
            <v>9.6199999999999994E-2</v>
          </cell>
          <cell r="D4">
            <v>3.73E-2</v>
          </cell>
        </row>
        <row r="5">
          <cell r="A5" t="str">
            <v>Déchèteries avec benne bois et benne DEA</v>
          </cell>
          <cell r="C5">
            <v>0.1075</v>
          </cell>
          <cell r="D5">
            <v>3.8900000000000004E-2</v>
          </cell>
        </row>
        <row r="7">
          <cell r="A7" t="str">
            <v>Déchèteries sans benne bois ni DEA</v>
          </cell>
          <cell r="C7">
            <v>0.42399999999999999</v>
          </cell>
          <cell r="D7">
            <v>0.11</v>
          </cell>
        </row>
        <row r="8">
          <cell r="A8" t="str">
            <v>Déchèteries sans benne bois et avec benne DEA</v>
          </cell>
          <cell r="C8">
            <v>0.3425586902463526</v>
          </cell>
          <cell r="D8">
            <v>9.8000000000000004E-2</v>
          </cell>
        </row>
        <row r="9">
          <cell r="A9" t="str">
            <v>Déchèteries avec benne bois et benne DEA</v>
          </cell>
          <cell r="C9">
            <v>0.1075</v>
          </cell>
          <cell r="D9">
            <v>3.8900000000000004E-2</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sheetName val="SC"/>
      <sheetName val="CAT ventil"/>
      <sheetName val="SC ventil"/>
      <sheetName val="Exploits_RSOM_TOT"/>
      <sheetName val="Exploits_RSOM_SCHEMA"/>
      <sheetName val="Exploits_VERRE"/>
      <sheetName val="Exploits_BIODECHETS"/>
      <sheetName val="Exploits_OMA"/>
      <sheetName val="Exploits_RSOM verre"/>
      <sheetName val="Exploits_RSOM verre biodéchets"/>
      <sheetName val="CS élargie"/>
      <sheetName val="VERRE_TOT"/>
      <sheetName val="MULTI"/>
      <sheetName val="FIB_NFIB"/>
      <sheetName val="EMB_PAP"/>
      <sheetName val="bilan CS 2007"/>
      <sheetName val="verre 2007"/>
      <sheetName val="bilan CS + verre 2007"/>
      <sheetName val="step_18_3_Composition_100_CS_S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ables/table1.xml><?xml version="1.0" encoding="utf-8"?>
<table xmlns="http://schemas.openxmlformats.org/spreadsheetml/2006/main" id="3" name="Tableau2" displayName="Tableau2" ref="A21:H35" totalsRowCount="1" headerRowDxfId="132">
  <autoFilter ref="A21:H34"/>
  <tableColumns count="8">
    <tableColumn id="1" name="OMR Catégories ventilées" dataDxfId="131" totalsRowDxfId="130" dataCellStyle="Normal 2"/>
    <tableColumn id="2" name="Moyenne ventil 8-20" dataDxfId="129" totalsRowDxfId="128" dataCellStyle="Normal 2"/>
    <tableColumn id="9" name="IC ventil 8-20 (%)" dataDxfId="127" dataCellStyle="Normal 2"/>
    <tableColumn id="3" name="Moyenne OMR (%)" dataDxfId="126" totalsRowDxfId="125" dataCellStyle="Normal 2"/>
    <tableColumn id="5" name="IC (%)" dataDxfId="124" totalsRowDxfId="123" dataCellStyle="Normal 2"/>
    <tableColumn id="7" name="Ratio (kg/hab/an)" dataDxfId="122" totalsRowDxfId="121" dataCellStyle="Normal 2"/>
    <tableColumn id="10" name="IC (kg/hab/an)" dataDxfId="120" totalsRowDxfId="119" dataCellStyle="Normal 2"/>
    <tableColumn id="8" name="Gisement national (t/an)" totalsRowFunction="sum" dataDxfId="118" totalsRowDxfId="117" dataCellStyle="Normal 2">
      <calculatedColumnFormula>Tableau2[[#This Row],[Moyenne OMR (%)]]*B$38/100</calculatedColumnFormula>
    </tableColumn>
  </tableColumns>
  <tableStyleInfo name="TableStyleLight2" showFirstColumn="0" showLastColumn="0" showRowStripes="1" showColumnStripes="0"/>
</table>
</file>

<file path=xl/tables/table10.xml><?xml version="1.0" encoding="utf-8"?>
<table xmlns="http://schemas.openxmlformats.org/spreadsheetml/2006/main" id="6" name="Tableau6" displayName="Tableau6" ref="A2:D12" totalsRowCount="1">
  <autoFilter ref="A2:D11"/>
  <tableColumns count="4">
    <tableColumn id="1" name="Catégories de déchets"/>
    <tableColumn id="2" name="%" totalsRowFunction="sum" dataDxfId="37" totalsRowDxfId="36"/>
    <tableColumn id="3" name="1/2_IC" dataDxfId="35" totalsRowDxfId="34"/>
    <tableColumn id="4" name="Tonnages" totalsRowFunction="sum" dataDxfId="33" totalsRowDxfId="32"/>
  </tableColumns>
  <tableStyleInfo name="TableStyleLight9" showFirstColumn="0" showLastColumn="0" showRowStripes="1" showColumnStripes="0"/>
</table>
</file>

<file path=xl/tables/table11.xml><?xml version="1.0" encoding="utf-8"?>
<table xmlns="http://schemas.openxmlformats.org/spreadsheetml/2006/main" id="9" name="Tableau94" displayName="Tableau94" ref="A4:D65" totalsRowCount="1">
  <autoFilter ref="A4:D64"/>
  <tableColumns count="4">
    <tableColumn id="1" name="Sous-catégories"/>
    <tableColumn id="2" name="Composition en %" totalsRowFunction="sum" dataDxfId="31" totalsRowDxfId="30"/>
    <tableColumn id="4" name="1/2 IC" dataDxfId="29"/>
    <tableColumn id="6" name="Gisement correspondant (en tonnes)" totalsRowFunction="sum" dataDxfId="28" totalsRowDxfId="27"/>
  </tableColumns>
  <tableStyleInfo name="TableStyleLight2" showFirstColumn="0" showLastColumn="0" showRowStripes="1" showColumnStripes="0"/>
</table>
</file>

<file path=xl/tables/table12.xml><?xml version="1.0" encoding="utf-8"?>
<table xmlns="http://schemas.openxmlformats.org/spreadsheetml/2006/main" id="11" name="Tableau11" displayName="Tableau11" ref="A3:C10" totalsRowCount="1">
  <autoFilter ref="A3:C9"/>
  <tableColumns count="3">
    <tableColumn id="1" name="Sous-catégories"/>
    <tableColumn id="2" name="%" totalsRowFunction="sum" dataDxfId="26"/>
    <tableColumn id="3" name="Demi-IC " dataDxfId="25"/>
  </tableColumns>
  <tableStyleInfo name="TableStyleLight9" showFirstColumn="0" showLastColumn="0" showRowStripes="1" showColumnStripes="0"/>
</table>
</file>

<file path=xl/tables/table13.xml><?xml version="1.0" encoding="utf-8"?>
<table xmlns="http://schemas.openxmlformats.org/spreadsheetml/2006/main" id="12" name="Tableau12" displayName="Tableau12" ref="A15:C21" totalsRowCount="1">
  <autoFilter ref="A15:C20"/>
  <tableColumns count="3">
    <tableColumn id="1" name="Sous-catégories"/>
    <tableColumn id="2" name="%" totalsRowFunction="sum" dataDxfId="24" totalsRowDxfId="23"/>
    <tableColumn id="3" name="Demi-IC" dataDxfId="22"/>
  </tableColumns>
  <tableStyleInfo name="TableStyleLight9" showFirstColumn="0" showLastColumn="0" showRowStripes="1" showColumnStripes="0"/>
</table>
</file>

<file path=xl/tables/table14.xml><?xml version="1.0" encoding="utf-8"?>
<table xmlns="http://schemas.openxmlformats.org/spreadsheetml/2006/main" id="14" name="Tableau14" displayName="Tableau14" ref="A26:C32" totalsRowCount="1">
  <autoFilter ref="A26:C31"/>
  <tableColumns count="3">
    <tableColumn id="1" name="Sous-catégories"/>
    <tableColumn id="2" name="%" totalsRowFunction="sum" dataDxfId="21" totalsRowDxfId="20"/>
    <tableColumn id="3" name="Demi-IC" dataDxfId="19"/>
  </tableColumns>
  <tableStyleInfo name="TableStyleLight9" showFirstColumn="0" showLastColumn="0" showRowStripes="1" showColumnStripes="0"/>
</table>
</file>

<file path=xl/tables/table15.xml><?xml version="1.0" encoding="utf-8"?>
<table xmlns="http://schemas.openxmlformats.org/spreadsheetml/2006/main" id="15" name="Tableau15" displayName="Tableau15" ref="A37:C45" totalsRowCount="1">
  <autoFilter ref="A37:C44"/>
  <tableColumns count="3">
    <tableColumn id="1" name="Sous-catégories"/>
    <tableColumn id="2" name="%" totalsRowFunction="sum" dataDxfId="18" totalsRowDxfId="17"/>
    <tableColumn id="3" name="Demi-IC" dataDxfId="16"/>
  </tableColumns>
  <tableStyleInfo name="TableStyleLight9" showFirstColumn="0" showLastColumn="0" showRowStripes="1" showColumnStripes="0"/>
</table>
</file>

<file path=xl/tables/table16.xml><?xml version="1.0" encoding="utf-8"?>
<table xmlns="http://schemas.openxmlformats.org/spreadsheetml/2006/main" id="16" name="Tableau17" displayName="Tableau17" ref="A69:E129" totalsRowCount="1">
  <autoFilter ref="A69:E128"/>
  <tableColumns count="5">
    <tableColumn id="1" name="Catégorie"/>
    <tableColumn id="2" name="Sous-catégories"/>
    <tableColumn id="3" name="Composition _TV_%" totalsRowFunction="sum" dataDxfId="15" totalsRowDxfId="14"/>
    <tableColumn id="4" name="1/2 IC_TV" dataDxfId="13" totalsRowDxfId="12"/>
    <tableColumn id="5" name="Gisement (en tonnes)" totalsRowFunction="sum" dataDxfId="11" totalsRowDxfId="10"/>
  </tableColumns>
  <tableStyleInfo name="TableStyleLight9" showFirstColumn="0" showLastColumn="0" showRowStripes="1" showColumnStripes="0"/>
</table>
</file>

<file path=xl/tables/table17.xml><?xml version="1.0" encoding="utf-8"?>
<table xmlns="http://schemas.openxmlformats.org/spreadsheetml/2006/main" id="18" name="Tableau18" displayName="Tableau18" ref="A50:D64" totalsRowCount="1">
  <autoFilter ref="A50:D63"/>
  <tableColumns count="4">
    <tableColumn id="1" name="Catégories"/>
    <tableColumn id="2" name="%" totalsRowFunction="sum" dataDxfId="9" totalsRowDxfId="8"/>
    <tableColumn id="3" name="Demi-IC à 95%" dataDxfId="7"/>
    <tableColumn id="4" name="Gisements (en tonnes)" totalsRowFunction="sum" dataDxfId="6" totalsRowDxfId="5"/>
  </tableColumns>
  <tableStyleInfo name="TableStyleLight9" showFirstColumn="0" showLastColumn="0" showRowStripes="1" showColumnStripes="0"/>
</table>
</file>

<file path=xl/tables/table18.xml><?xml version="1.0" encoding="utf-8"?>
<table xmlns="http://schemas.openxmlformats.org/spreadsheetml/2006/main" id="19" name="Tableau19" displayName="Tableau19" ref="A3:D8" totalsRowCount="1">
  <autoFilter ref="A3:D7"/>
  <tableColumns count="4">
    <tableColumn id="1" name="Répartition du Bois"/>
    <tableColumn id="2" name="Bois hors mobilier (en tonnes)" totalsRowFunction="sum" dataDxfId="4"/>
    <tableColumn id="3" name="Mobilier bois (en tonnes)" totalsRowFunction="sum" dataDxfId="3"/>
    <tableColumn id="4" name="Total " totalsRowFunction="sum" dataDxfId="2"/>
  </tableColumns>
  <tableStyleInfo name="TableStyleLight9" showFirstColumn="0" showLastColumn="0" showRowStripes="1" showColumnStripes="0"/>
</table>
</file>

<file path=xl/tables/table19.xml><?xml version="1.0" encoding="utf-8"?>
<table xmlns="http://schemas.openxmlformats.org/spreadsheetml/2006/main" id="20" name="Tableau20" displayName="Tableau20" ref="A3:C9" totalsRowShown="0">
  <autoFilter ref="A3:C9"/>
  <tableColumns count="3">
    <tableColumn id="1" name="Typologie de déchèterie"/>
    <tableColumn id="2" name="Taux de bois dans le TV" dataDxfId="1"/>
    <tableColumn id="3" name="Demi-IC" dataDxfId="0"/>
  </tableColumns>
  <tableStyleInfo name="TableStyleMedium16" showFirstColumn="0" showLastColumn="0" showRowStripes="1" showColumnStripes="0"/>
</table>
</file>

<file path=xl/tables/table2.xml><?xml version="1.0" encoding="utf-8"?>
<table xmlns="http://schemas.openxmlformats.org/spreadsheetml/2006/main" id="1" name="Tableau1" displayName="Tableau1" ref="A3:D16" totalsRowShown="0" headerRowDxfId="116" dataDxfId="114" headerRowBorderDxfId="115" tableBorderDxfId="113" totalsRowBorderDxfId="112">
  <autoFilter ref="A3:D16"/>
  <tableColumns count="4">
    <tableColumn id="1" name="Composition des fines &lt;8 mm MAE" dataDxfId="111"/>
    <tableColumn id="2" name="MOYENNE_MAE" dataDxfId="110"/>
    <tableColumn id="3" name="ECART-TYPE" dataDxfId="109"/>
    <tableColumn id="4" name="IC-95%" dataDxfId="108"/>
  </tableColumns>
  <tableStyleInfo name="TableStyleLight2" showFirstColumn="0" showLastColumn="0" showRowStripes="1" showColumnStripes="0"/>
</table>
</file>

<file path=xl/tables/table3.xml><?xml version="1.0" encoding="utf-8"?>
<table xmlns="http://schemas.openxmlformats.org/spreadsheetml/2006/main" id="7" name="Tableau28" displayName="Tableau28" ref="A2:C15" totalsRowShown="0" headerRowDxfId="107" dataDxfId="105" headerRowBorderDxfId="106" tableBorderDxfId="104" totalsRowBorderDxfId="103">
  <autoFilter ref="A2:C15"/>
  <tableColumns count="3">
    <tableColumn id="1" name="Composition en % (8-20 reventilés)" dataDxfId="102"/>
    <tableColumn id="2" name="MOYENNE" dataDxfId="101"/>
    <tableColumn id="4" name="IC-95%" dataDxfId="100"/>
  </tableColumns>
  <tableStyleInfo name="TableStyleLight2" showFirstColumn="0" showLastColumn="0" showRowStripes="1" showColumnStripes="0"/>
</table>
</file>

<file path=xl/tables/table4.xml><?xml version="1.0" encoding="utf-8"?>
<table xmlns="http://schemas.openxmlformats.org/spreadsheetml/2006/main" id="8" name="Tableau3" displayName="Tableau3" ref="A19:D20" totalsRowShown="0">
  <autoFilter ref="A19:D20"/>
  <tableColumns count="4">
    <tableColumn id="1" name="2017"/>
    <tableColumn id="2" name="POPULATION" dataDxfId="99"/>
    <tableColumn id="3" name="TONNAGE RSOM" dataDxfId="98"/>
    <tableColumn id="4" name="RATIO_RSOM" dataDxfId="97"/>
  </tableColumns>
  <tableStyleInfo name="TableStyleLight2" showFirstColumn="0" showLastColumn="0" showRowStripes="1" showColumnStripes="0"/>
</table>
</file>

<file path=xl/tables/table5.xml><?xml version="1.0" encoding="utf-8"?>
<table xmlns="http://schemas.openxmlformats.org/spreadsheetml/2006/main" id="10" name="Tableau5" displayName="Tableau5" ref="A24:G38" totalsRowCount="1" headerRowDxfId="96" dataDxfId="94" totalsRowDxfId="92" headerRowBorderDxfId="95" tableBorderDxfId="93" totalsRowBorderDxfId="91">
  <autoFilter ref="A24:G37"/>
  <tableColumns count="7">
    <tableColumn id="1" name="Composition en catégories" totalsRowLabel="Total" dataDxfId="90" totalsRowDxfId="89" dataCellStyle="Normal 2"/>
    <tableColumn id="5" name="Moyenne _x000a_(%)" totalsRowFunction="custom" dataDxfId="88" totalsRowDxfId="87" dataCellStyle="Normal 2">
      <totalsRowFormula>SUM(Tableau5[Moyenne 
(%)])</totalsRowFormula>
    </tableColumn>
    <tableColumn id="4" name="IC_x000a_(%)" dataDxfId="86" totalsRowDxfId="85" dataCellStyle="Normal 2"/>
    <tableColumn id="2" name="Ratios_x000a_ (kg/hab/an)" totalsRowFunction="sum" dataDxfId="84" totalsRowDxfId="83" dataCellStyle="Normal 2">
      <calculatedColumnFormula>(B3/100)*Tableau3[RATIO_RSOM]</calculatedColumnFormula>
    </tableColumn>
    <tableColumn id="6" name="IC _x000a_(kg/hab/an)" dataDxfId="82" totalsRowDxfId="81" dataCellStyle="Normal 2">
      <calculatedColumnFormula>(Tableau5[[#This Row],[IC
(%)]]/Tableau5[[#This Row],[Moyenne 
(%)]])*D25</calculatedColumnFormula>
    </tableColumn>
    <tableColumn id="3" name="Gisement _x000a_(t/an)" totalsRowFunction="sum" dataDxfId="80" totalsRowDxfId="79" dataCellStyle="Normal 2">
      <calculatedColumnFormula>(B3/100)*Tableau3[TONNAGE RSOM]</calculatedColumnFormula>
    </tableColumn>
    <tableColumn id="7" name="IC _x000a_(t/an)" dataDxfId="78" totalsRowDxfId="77" dataCellStyle="Normal 2">
      <calculatedColumnFormula>Tableau5[[#This Row],[Gisement 
(t/an)]]*(Tableau5[[#This Row],[IC
(%)]]/Tableau5[[#This Row],[Moyenne 
(%)]])</calculatedColumnFormula>
    </tableColumn>
  </tableColumns>
  <tableStyleInfo name="TableStyleLight2" showFirstColumn="0" showLastColumn="0" showRowStripes="1" showColumnStripes="0"/>
</table>
</file>

<file path=xl/tables/table6.xml><?xml version="1.0" encoding="utf-8"?>
<table xmlns="http://schemas.openxmlformats.org/spreadsheetml/2006/main" id="13" name="Tableau2814" displayName="Tableau2814" ref="A2:C15" totalsRowShown="0" headerRowDxfId="76" dataDxfId="74" headerRowBorderDxfId="75" tableBorderDxfId="73" totalsRowBorderDxfId="72">
  <autoFilter ref="A2:C15"/>
  <tableColumns count="3">
    <tableColumn id="1" name="Composition en % (8-20 reventilés)" dataDxfId="71"/>
    <tableColumn id="2" name="MOYENNE" dataDxfId="70"/>
    <tableColumn id="3" name="IC-95%" dataDxfId="69"/>
  </tableColumns>
  <tableStyleInfo name="TableStyleLight2" showFirstColumn="0" showLastColumn="0" showRowStripes="1" showColumnStripes="0"/>
</table>
</file>

<file path=xl/tables/table7.xml><?xml version="1.0" encoding="utf-8"?>
<table xmlns="http://schemas.openxmlformats.org/spreadsheetml/2006/main" id="17" name="Tableau1554118" displayName="Tableau1554118" ref="Q2:T33" totalsRowShown="0" headerRowDxfId="68" headerRowBorderDxfId="67" tableBorderDxfId="66" totalsRowBorderDxfId="65">
  <autoFilter ref="Q2:T33"/>
  <tableColumns count="4">
    <tableColumn id="1" name="Composition en sous-catégories (consignes classiques)" dataDxfId="64"/>
    <tableColumn id="2" name="Moyenne _x000a_(%)" dataDxfId="63"/>
    <tableColumn id="10" name="Ratio CS (kg/hab/an)" dataDxfId="62">
      <calculatedColumnFormula>Tableau1554118[[#This Row],[Moyenne 
(%)]]*[2]!Tableau3[RATIO_RSOM]/100</calculatedColumnFormula>
    </tableColumn>
    <tableColumn id="11" name="Gisement CS_x000a_(t/an)2" dataDxfId="61">
      <calculatedColumnFormula>Tableau1554118[[#This Row],[Ratio CS (kg/hab/an)]]*#REF!/1000</calculatedColumnFormula>
    </tableColumn>
  </tableColumns>
  <tableStyleInfo name="TableStyleLight2" showFirstColumn="0" showLastColumn="0" showRowStripes="1" showColumnStripes="0"/>
</table>
</file>

<file path=xl/tables/table8.xml><?xml version="1.0" encoding="utf-8"?>
<table xmlns="http://schemas.openxmlformats.org/spreadsheetml/2006/main" id="2" name="Tableau532" displayName="Tableau532" ref="A1:G18" totalsRowShown="0" headerRowDxfId="60" dataDxfId="58" totalsRowDxfId="56" headerRowBorderDxfId="59" tableBorderDxfId="57" totalsRowBorderDxfId="55">
  <autoFilter ref="A1:G18"/>
  <tableColumns count="7">
    <tableColumn id="1" name="Composition en catégories" dataDxfId="54" totalsRowDxfId="53"/>
    <tableColumn id="5" name="Composition massique_x000a_(%)" dataDxfId="52" totalsRowDxfId="51"/>
    <tableColumn id="4" name="1/2 IC _x000a_(%)" dataDxfId="50" totalsRowDxfId="49"/>
    <tableColumn id="2" name="Ratio _x000a_(kg/hab/an)" dataDxfId="48" totalsRowDxfId="47"/>
    <tableColumn id="6" name="1/2 IC _x000a_(kg/hab/an)" dataDxfId="46" totalsRowDxfId="45"/>
    <tableColumn id="3" name="Gisement national _x000a_(kt/an)" dataDxfId="44" totalsRowDxfId="43"/>
    <tableColumn id="7" name="1/2 IC_x000a_ (kt/an)" dataDxfId="42" totalsRowDxfId="41"/>
  </tableColumns>
  <tableStyleInfo name="TableStyleLight2" showFirstColumn="0" showLastColumn="0" showRowStripes="1" showColumnStripes="0"/>
</table>
</file>

<file path=xl/tables/table9.xml><?xml version="1.0" encoding="utf-8"?>
<table xmlns="http://schemas.openxmlformats.org/spreadsheetml/2006/main" id="27" name="Tableau16" displayName="Tableau16" ref="A4:C17" totalsRowShown="0">
  <autoFilter ref="A4:C17"/>
  <tableColumns count="3">
    <tableColumn id="1" name="Recomposition ventil" dataDxfId="40"/>
    <tableColumn id="2" name="Moyenne" dataDxfId="39"/>
    <tableColumn id="3" name="IC-95%" dataDxfId="38"/>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table" Target="../tables/table5.xml"/><Relationship Id="rId4" Type="http://schemas.openxmlformats.org/officeDocument/2006/relationships/table" Target="../tables/table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table" Target="../tables/table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omments" Target="../comments1.xml"/><Relationship Id="rId4" Type="http://schemas.openxmlformats.org/officeDocument/2006/relationships/table" Target="../tables/table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17.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4.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5.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activeCell="C15" sqref="C15"/>
    </sheetView>
  </sheetViews>
  <sheetFormatPr baseColWidth="10" defaultRowHeight="12.75" x14ac:dyDescent="0.2"/>
  <cols>
    <col min="1" max="1" width="26.85546875" customWidth="1"/>
    <col min="2" max="5" width="15.7109375" customWidth="1"/>
  </cols>
  <sheetData>
    <row r="1" spans="1:5" ht="15" x14ac:dyDescent="0.25">
      <c r="A1" s="214"/>
      <c r="B1" s="592">
        <v>2007</v>
      </c>
      <c r="C1" s="592"/>
      <c r="D1" s="592">
        <v>2017</v>
      </c>
      <c r="E1" s="592"/>
    </row>
    <row r="2" spans="1:5" ht="30" x14ac:dyDescent="0.2">
      <c r="A2" s="117" t="s">
        <v>185</v>
      </c>
      <c r="B2" s="1" t="s">
        <v>167</v>
      </c>
      <c r="C2" s="1" t="s">
        <v>186</v>
      </c>
      <c r="D2" s="1" t="s">
        <v>167</v>
      </c>
      <c r="E2" s="1" t="s">
        <v>186</v>
      </c>
    </row>
    <row r="3" spans="1:5" ht="15" x14ac:dyDescent="0.2">
      <c r="A3" s="117" t="s">
        <v>187</v>
      </c>
      <c r="B3" s="216">
        <v>316.16000000000003</v>
      </c>
      <c r="C3" s="101">
        <v>20101119</v>
      </c>
      <c r="D3" s="216">
        <v>253.71128195899999</v>
      </c>
      <c r="E3" s="101">
        <v>16399677.29817</v>
      </c>
    </row>
    <row r="4" spans="1:5" ht="15" x14ac:dyDescent="0.2">
      <c r="A4" s="117" t="s">
        <v>188</v>
      </c>
      <c r="B4" s="216">
        <v>45.61</v>
      </c>
      <c r="C4" s="101">
        <v>2899562</v>
      </c>
      <c r="D4" s="216">
        <v>49.541158394999997</v>
      </c>
      <c r="E4" s="101">
        <v>3201899.6973700002</v>
      </c>
    </row>
    <row r="5" spans="1:5" ht="15" x14ac:dyDescent="0.2">
      <c r="A5" s="117" t="s">
        <v>44</v>
      </c>
      <c r="B5" s="216">
        <v>28.55</v>
      </c>
      <c r="C5" s="101">
        <v>1815437</v>
      </c>
      <c r="D5" s="216">
        <v>30.636308611</v>
      </c>
      <c r="E5" s="101">
        <v>1979280.69725</v>
      </c>
    </row>
    <row r="6" spans="1:5" ht="30" x14ac:dyDescent="0.2">
      <c r="A6" s="117" t="s">
        <v>189</v>
      </c>
      <c r="B6" s="216">
        <v>0.32</v>
      </c>
      <c r="C6" s="101">
        <v>20223</v>
      </c>
      <c r="D6" s="216">
        <v>18.620943588999999</v>
      </c>
      <c r="E6" s="101">
        <v>74429.717009999993</v>
      </c>
    </row>
    <row r="7" spans="1:5" ht="15" x14ac:dyDescent="0.2">
      <c r="A7" s="117" t="s">
        <v>190</v>
      </c>
      <c r="B7" s="216">
        <f>B3+B4+B5+B6</f>
        <v>390.64000000000004</v>
      </c>
      <c r="C7" s="216">
        <f>SUM(C3:C6)</f>
        <v>24836341</v>
      </c>
      <c r="D7" s="216">
        <v>335.01822200802104</v>
      </c>
      <c r="E7" s="101">
        <v>21655287.4098</v>
      </c>
    </row>
    <row r="8" spans="1:5" ht="15" x14ac:dyDescent="0.2">
      <c r="A8" s="215" t="s">
        <v>191</v>
      </c>
      <c r="B8" s="217">
        <v>181</v>
      </c>
      <c r="C8" s="218" t="s">
        <v>303</v>
      </c>
      <c r="D8" s="217">
        <v>223</v>
      </c>
      <c r="E8" s="218" t="s">
        <v>305</v>
      </c>
    </row>
    <row r="9" spans="1:5" ht="15" x14ac:dyDescent="0.2">
      <c r="A9" s="215" t="s">
        <v>192</v>
      </c>
      <c r="B9" s="216">
        <v>592</v>
      </c>
      <c r="C9" s="218" t="s">
        <v>304</v>
      </c>
      <c r="D9" s="217">
        <v>580</v>
      </c>
      <c r="E9" s="218" t="s">
        <v>306</v>
      </c>
    </row>
    <row r="11" spans="1:5" x14ac:dyDescent="0.2">
      <c r="B11" s="423"/>
    </row>
    <row r="13" spans="1:5" ht="15" x14ac:dyDescent="0.25">
      <c r="A13" s="214"/>
      <c r="B13" s="257">
        <v>2007</v>
      </c>
      <c r="C13" s="257">
        <v>2017</v>
      </c>
    </row>
    <row r="14" spans="1:5" ht="30" x14ac:dyDescent="0.2">
      <c r="A14" s="117" t="s">
        <v>185</v>
      </c>
      <c r="B14" s="1" t="s">
        <v>167</v>
      </c>
      <c r="C14" s="1" t="s">
        <v>167</v>
      </c>
    </row>
    <row r="15" spans="1:5" ht="15" x14ac:dyDescent="0.2">
      <c r="A15" s="117" t="s">
        <v>187</v>
      </c>
      <c r="B15" s="101">
        <v>316.16000000000003</v>
      </c>
      <c r="C15" s="101">
        <v>253.71128195899999</v>
      </c>
    </row>
    <row r="16" spans="1:5" ht="15" x14ac:dyDescent="0.2">
      <c r="A16" s="117" t="s">
        <v>299</v>
      </c>
      <c r="B16" s="101">
        <v>95</v>
      </c>
      <c r="C16" s="101">
        <v>103</v>
      </c>
    </row>
    <row r="17" spans="1:3" ht="15" x14ac:dyDescent="0.2">
      <c r="A17" s="215" t="s">
        <v>191</v>
      </c>
      <c r="B17" s="218">
        <v>181</v>
      </c>
      <c r="C17" s="218">
        <v>223</v>
      </c>
    </row>
    <row r="18" spans="1:3" ht="15" x14ac:dyDescent="0.2">
      <c r="A18" s="215" t="s">
        <v>300</v>
      </c>
      <c r="B18" s="101">
        <v>592</v>
      </c>
      <c r="C18" s="218">
        <v>580</v>
      </c>
    </row>
    <row r="25" spans="1:3" x14ac:dyDescent="0.2">
      <c r="A25" t="s">
        <v>298</v>
      </c>
    </row>
  </sheetData>
  <mergeCells count="2">
    <mergeCell ref="B1:C1"/>
    <mergeCell ref="D1:E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80" zoomScaleNormal="80" workbookViewId="0">
      <selection activeCell="F25" sqref="F25:F39"/>
    </sheetView>
  </sheetViews>
  <sheetFormatPr baseColWidth="10" defaultColWidth="11.42578125" defaultRowHeight="15" x14ac:dyDescent="0.25"/>
  <cols>
    <col min="1" max="1" width="28.42578125" style="258" customWidth="1"/>
    <col min="2" max="11" width="12.7109375" style="258" customWidth="1"/>
    <col min="12" max="12" width="12.85546875" style="258" customWidth="1"/>
    <col min="13" max="19" width="11.42578125" style="258" customWidth="1"/>
    <col min="20" max="16384" width="11.42578125" style="258"/>
  </cols>
  <sheetData>
    <row r="1" spans="1:11" ht="15.75" customHeight="1" x14ac:dyDescent="0.25"/>
    <row r="2" spans="1:11" ht="15.75" thickBot="1" x14ac:dyDescent="0.3">
      <c r="C2" s="311"/>
    </row>
    <row r="3" spans="1:11" ht="28.5" customHeight="1" thickBot="1" x14ac:dyDescent="0.3">
      <c r="B3" s="596" t="s">
        <v>262</v>
      </c>
      <c r="C3" s="597"/>
      <c r="D3" s="597"/>
      <c r="E3" s="597"/>
      <c r="F3" s="598"/>
    </row>
    <row r="4" spans="1:11" x14ac:dyDescent="0.25">
      <c r="A4" s="315" t="s">
        <v>265</v>
      </c>
      <c r="B4" s="317">
        <v>2017</v>
      </c>
      <c r="C4" s="318" t="s">
        <v>263</v>
      </c>
      <c r="D4" s="319">
        <v>2007</v>
      </c>
      <c r="E4" s="319" t="s">
        <v>264</v>
      </c>
      <c r="F4" s="320">
        <v>1993</v>
      </c>
    </row>
    <row r="5" spans="1:11" ht="18" customHeight="1" x14ac:dyDescent="0.25">
      <c r="A5" s="323" t="s">
        <v>133</v>
      </c>
      <c r="B5" s="324">
        <v>0.32759132697486398</v>
      </c>
      <c r="C5" s="325">
        <v>1.31518177160895E-2</v>
      </c>
      <c r="D5" s="326">
        <v>0.39555156910589739</v>
      </c>
      <c r="E5" s="327">
        <v>4.4562227566188356E-2</v>
      </c>
      <c r="F5" s="328">
        <v>0.3</v>
      </c>
    </row>
    <row r="6" spans="1:11" ht="18" customHeight="1" x14ac:dyDescent="0.25">
      <c r="A6" s="323" t="s">
        <v>134</v>
      </c>
      <c r="B6" s="324">
        <v>8.6128091519223293E-2</v>
      </c>
      <c r="C6" s="325">
        <v>5.6436047133628896E-3</v>
      </c>
      <c r="D6" s="326">
        <v>0.10453774464812665</v>
      </c>
      <c r="E6" s="327">
        <v>1.0694454546739646E-2</v>
      </c>
      <c r="F6" s="328">
        <v>0.16</v>
      </c>
      <c r="G6" s="329"/>
      <c r="I6" s="329"/>
      <c r="J6" s="329"/>
      <c r="K6" s="329"/>
    </row>
    <row r="7" spans="1:11" ht="18" customHeight="1" x14ac:dyDescent="0.25">
      <c r="A7" s="323" t="s">
        <v>135</v>
      </c>
      <c r="B7" s="324">
        <v>6.4080714900852598E-2</v>
      </c>
      <c r="C7" s="325">
        <v>3.9049244381685598E-3</v>
      </c>
      <c r="D7" s="326">
        <v>5.7246812183562715E-2</v>
      </c>
      <c r="E7" s="327">
        <v>5.3043920163355863E-3</v>
      </c>
      <c r="F7" s="328">
        <v>0.1</v>
      </c>
      <c r="G7" s="329"/>
      <c r="I7" s="329"/>
      <c r="J7" s="329"/>
      <c r="K7" s="329"/>
    </row>
    <row r="8" spans="1:11" ht="18" customHeight="1" x14ac:dyDescent="0.25">
      <c r="A8" s="323" t="s">
        <v>136</v>
      </c>
      <c r="B8" s="324">
        <v>2.3372684964182898E-2</v>
      </c>
      <c r="C8" s="325">
        <v>1.4318391667703101E-3</v>
      </c>
      <c r="D8" s="326">
        <v>1.7111019237748441E-2</v>
      </c>
      <c r="E8" s="327">
        <v>3.4767125614879116E-3</v>
      </c>
      <c r="F8" s="328">
        <v>0.01</v>
      </c>
      <c r="G8" s="329"/>
      <c r="I8" s="329"/>
      <c r="J8" s="329"/>
      <c r="K8" s="329"/>
    </row>
    <row r="9" spans="1:11" ht="18" customHeight="1" x14ac:dyDescent="0.25">
      <c r="A9" s="323" t="s">
        <v>137</v>
      </c>
      <c r="B9" s="324">
        <v>3.0316602797141701E-2</v>
      </c>
      <c r="C9" s="325">
        <v>2.4249289845197498E-3</v>
      </c>
      <c r="D9" s="326">
        <v>2.3342718341576155E-2</v>
      </c>
      <c r="E9" s="327">
        <v>5.3836465464968449E-3</v>
      </c>
      <c r="F9" s="328">
        <v>0.03</v>
      </c>
      <c r="G9" s="329"/>
      <c r="I9" s="329"/>
      <c r="J9" s="329"/>
      <c r="K9" s="329"/>
    </row>
    <row r="10" spans="1:11" ht="18" customHeight="1" x14ac:dyDescent="0.25">
      <c r="A10" s="323" t="s">
        <v>138</v>
      </c>
      <c r="B10" s="324">
        <v>0.13912847770848902</v>
      </c>
      <c r="C10" s="325">
        <v>6.5771003416255107E-3</v>
      </c>
      <c r="D10" s="326">
        <v>0.10640233626834995</v>
      </c>
      <c r="E10" s="327">
        <v>1.1528376327787353E-2</v>
      </c>
      <c r="F10" s="328">
        <v>0.03</v>
      </c>
      <c r="G10" s="329"/>
      <c r="I10" s="329"/>
      <c r="J10" s="329"/>
      <c r="K10" s="329"/>
    </row>
    <row r="11" spans="1:11" ht="18" customHeight="1" x14ac:dyDescent="0.25">
      <c r="A11" s="323" t="s">
        <v>139</v>
      </c>
      <c r="B11" s="324">
        <v>0.14694659926717799</v>
      </c>
      <c r="C11" s="325">
        <v>4.6298880983436704E-3</v>
      </c>
      <c r="D11" s="326">
        <v>0.11653082830303009</v>
      </c>
      <c r="E11" s="327">
        <v>6.6075261223157346E-3</v>
      </c>
      <c r="F11" s="328">
        <v>0.12</v>
      </c>
      <c r="G11" s="329"/>
      <c r="I11" s="329"/>
      <c r="J11" s="329"/>
      <c r="K11" s="329"/>
    </row>
    <row r="12" spans="1:11" ht="18" customHeight="1" x14ac:dyDescent="0.25">
      <c r="A12" s="323" t="s">
        <v>140</v>
      </c>
      <c r="B12" s="324">
        <v>4.5703719854659999E-2</v>
      </c>
      <c r="C12" s="325">
        <v>3.5012812524755099E-3</v>
      </c>
      <c r="D12" s="326">
        <v>2.5754580608820018E-2</v>
      </c>
      <c r="E12" s="327">
        <v>5.2284322860548672E-3</v>
      </c>
      <c r="F12" s="328">
        <v>0.03</v>
      </c>
      <c r="G12" s="329"/>
      <c r="I12" s="329"/>
      <c r="J12" s="329"/>
      <c r="K12" s="329"/>
    </row>
    <row r="13" spans="1:11" ht="18" customHeight="1" x14ac:dyDescent="0.25">
      <c r="A13" s="323" t="s">
        <v>141</v>
      </c>
      <c r="B13" s="324">
        <v>5.3486192652972504E-2</v>
      </c>
      <c r="C13" s="325">
        <v>4.2721652857233899E-3</v>
      </c>
      <c r="D13" s="326">
        <v>6.285724992121261E-2</v>
      </c>
      <c r="E13" s="327">
        <v>7.1815299025213969E-3</v>
      </c>
      <c r="F13" s="328">
        <v>0.1</v>
      </c>
      <c r="G13" s="329"/>
      <c r="I13" s="329"/>
      <c r="J13" s="329"/>
      <c r="K13" s="329"/>
    </row>
    <row r="14" spans="1:11" ht="18" customHeight="1" x14ac:dyDescent="0.25">
      <c r="A14" s="323" t="s">
        <v>142</v>
      </c>
      <c r="B14" s="324">
        <v>3.4394079395264704E-2</v>
      </c>
      <c r="C14" s="325">
        <v>2.4322465382196502E-3</v>
      </c>
      <c r="D14" s="326">
        <v>2.981866662255632E-2</v>
      </c>
      <c r="E14" s="327">
        <v>3.3433678299245127E-3</v>
      </c>
      <c r="F14" s="328">
        <v>0.04</v>
      </c>
      <c r="G14" s="329"/>
      <c r="I14" s="329"/>
      <c r="J14" s="329"/>
      <c r="K14" s="329"/>
    </row>
    <row r="15" spans="1:11" ht="23.25" customHeight="1" x14ac:dyDescent="0.25">
      <c r="A15" s="323" t="s">
        <v>143</v>
      </c>
      <c r="B15" s="324">
        <v>4.26555797542746E-2</v>
      </c>
      <c r="C15" s="325">
        <v>5.7777061993629095E-3</v>
      </c>
      <c r="D15" s="326">
        <v>5.2528522683047453E-2</v>
      </c>
      <c r="E15" s="327">
        <v>7.8243347005929834E-3</v>
      </c>
      <c r="F15" s="328">
        <v>7.0000000000000007E-2</v>
      </c>
      <c r="G15" s="329"/>
      <c r="I15" s="329"/>
      <c r="J15" s="329"/>
      <c r="K15" s="329"/>
    </row>
    <row r="16" spans="1:11" ht="18" customHeight="1" x14ac:dyDescent="0.25">
      <c r="A16" s="323" t="s">
        <v>144</v>
      </c>
      <c r="B16" s="324">
        <v>6.1959302108970001E-3</v>
      </c>
      <c r="C16" s="325">
        <v>9.9471696966148011E-4</v>
      </c>
      <c r="D16" s="326">
        <v>8.317952076072218E-3</v>
      </c>
      <c r="E16" s="327">
        <v>2.9261177107331379E-3</v>
      </c>
      <c r="F16" s="328">
        <v>0.01</v>
      </c>
      <c r="G16" s="329"/>
      <c r="I16" s="329"/>
      <c r="J16" s="329"/>
      <c r="K16" s="329"/>
    </row>
    <row r="17" spans="1:11" ht="18" customHeight="1" x14ac:dyDescent="0.25">
      <c r="A17" s="330" t="s">
        <v>266</v>
      </c>
      <c r="B17" s="331" t="s">
        <v>145</v>
      </c>
      <c r="C17" s="306"/>
      <c r="D17" s="332" t="s">
        <v>145</v>
      </c>
      <c r="E17" s="333"/>
      <c r="F17" s="334" t="s">
        <v>145</v>
      </c>
      <c r="G17" s="329"/>
      <c r="I17" s="329"/>
      <c r="J17" s="329"/>
      <c r="K17" s="329"/>
    </row>
    <row r="18" spans="1:11" ht="15.75" thickBot="1" x14ac:dyDescent="0.3">
      <c r="A18" s="330" t="s">
        <v>267</v>
      </c>
      <c r="B18" s="335"/>
      <c r="C18" s="259"/>
      <c r="D18" s="336"/>
      <c r="E18" s="337"/>
      <c r="F18" s="338"/>
      <c r="G18" s="329"/>
      <c r="I18" s="329"/>
      <c r="J18" s="329"/>
      <c r="K18" s="329"/>
    </row>
    <row r="19" spans="1:11" ht="15.75" thickBot="1" x14ac:dyDescent="0.3">
      <c r="A19" s="339" t="s">
        <v>62</v>
      </c>
      <c r="B19" s="340">
        <f>SUM(B5:B18)</f>
        <v>1.0000000000000002</v>
      </c>
      <c r="C19" s="341"/>
      <c r="D19" s="342">
        <f>SUM(D5:D18)</f>
        <v>1</v>
      </c>
      <c r="E19" s="343"/>
      <c r="F19" s="344">
        <f>SUM(F5:F17)</f>
        <v>1</v>
      </c>
      <c r="H19" s="294"/>
    </row>
    <row r="22" spans="1:11" ht="19.5" customHeight="1" thickBot="1" x14ac:dyDescent="0.3"/>
    <row r="23" spans="1:11" ht="36" customHeight="1" thickBot="1" x14ac:dyDescent="0.3">
      <c r="B23" s="599" t="s">
        <v>268</v>
      </c>
      <c r="C23" s="600"/>
      <c r="D23" s="600"/>
      <c r="E23" s="600"/>
      <c r="F23" s="601"/>
    </row>
    <row r="24" spans="1:11" ht="41.25" customHeight="1" x14ac:dyDescent="0.25">
      <c r="A24" s="347" t="s">
        <v>132</v>
      </c>
      <c r="B24" s="312">
        <v>2017</v>
      </c>
      <c r="C24" s="312" t="s">
        <v>263</v>
      </c>
      <c r="D24" s="316">
        <v>2007</v>
      </c>
      <c r="E24" s="316" t="s">
        <v>264</v>
      </c>
      <c r="F24" s="348">
        <v>1993</v>
      </c>
    </row>
    <row r="25" spans="1:11" x14ac:dyDescent="0.25">
      <c r="A25" s="350" t="s">
        <v>269</v>
      </c>
      <c r="B25" s="442">
        <v>253.71</v>
      </c>
      <c r="C25" s="302"/>
      <c r="D25" s="446">
        <v>316.2</v>
      </c>
      <c r="E25" s="351"/>
      <c r="F25" s="450">
        <v>395.6</v>
      </c>
    </row>
    <row r="26" spans="1:11" x14ac:dyDescent="0.25">
      <c r="A26" s="321" t="s">
        <v>133</v>
      </c>
      <c r="B26" s="443">
        <f t="shared" ref="B26:B37" si="0">$B$42*B5</f>
        <v>83.11319556679274</v>
      </c>
      <c r="C26" s="352">
        <f>(C5/B5)*B26</f>
        <v>3.336747672749067</v>
      </c>
      <c r="D26" s="447">
        <f>D5*D$25</f>
        <v>125.07340615128476</v>
      </c>
      <c r="E26" s="353">
        <f>D26*(E5/D5)</f>
        <v>14.090576356428759</v>
      </c>
      <c r="F26" s="451">
        <f t="shared" ref="F26:F37" si="1">F$25*F5</f>
        <v>118.68</v>
      </c>
    </row>
    <row r="27" spans="1:11" x14ac:dyDescent="0.25">
      <c r="A27" s="321" t="s">
        <v>134</v>
      </c>
      <c r="B27" s="443">
        <f t="shared" si="0"/>
        <v>21.851558099342142</v>
      </c>
      <c r="C27" s="352">
        <f t="shared" ref="C27:C37" si="2">(C6/B6)*B27</f>
        <v>1.4318389518272987</v>
      </c>
      <c r="D27" s="447">
        <f t="shared" ref="D27:D37" si="3">D6*D$25</f>
        <v>33.054834857737646</v>
      </c>
      <c r="E27" s="353">
        <f t="shared" ref="E27:E37" si="4">D27*(E6/D6)</f>
        <v>3.3815865276790755</v>
      </c>
      <c r="F27" s="451">
        <f t="shared" si="1"/>
        <v>63.296000000000006</v>
      </c>
    </row>
    <row r="28" spans="1:11" x14ac:dyDescent="0.25">
      <c r="A28" s="321" t="s">
        <v>135</v>
      </c>
      <c r="B28" s="443">
        <f t="shared" si="0"/>
        <v>16.257918177495313</v>
      </c>
      <c r="C28" s="352">
        <f>(C7/B7)*B28</f>
        <v>0.9907183792077453</v>
      </c>
      <c r="D28" s="447">
        <f t="shared" si="3"/>
        <v>18.101442012442529</v>
      </c>
      <c r="E28" s="353">
        <f t="shared" si="4"/>
        <v>1.6772487555653122</v>
      </c>
      <c r="F28" s="451">
        <f t="shared" si="1"/>
        <v>39.56</v>
      </c>
    </row>
    <row r="29" spans="1:11" x14ac:dyDescent="0.25">
      <c r="A29" s="321" t="s">
        <v>136</v>
      </c>
      <c r="B29" s="443">
        <f t="shared" si="0"/>
        <v>5.9298839022628433</v>
      </c>
      <c r="C29" s="352">
        <f t="shared" si="2"/>
        <v>0.36327191500129541</v>
      </c>
      <c r="D29" s="447">
        <f t="shared" si="3"/>
        <v>5.4105042829760563</v>
      </c>
      <c r="E29" s="353">
        <f t="shared" si="4"/>
        <v>1.0993365119424774</v>
      </c>
      <c r="F29" s="451">
        <f t="shared" si="1"/>
        <v>3.9560000000000004</v>
      </c>
    </row>
    <row r="30" spans="1:11" x14ac:dyDescent="0.25">
      <c r="A30" s="321" t="s">
        <v>137</v>
      </c>
      <c r="B30" s="443">
        <f t="shared" si="0"/>
        <v>7.6916252956628215</v>
      </c>
      <c r="C30" s="352">
        <f t="shared" si="2"/>
        <v>0.61522873266250577</v>
      </c>
      <c r="D30" s="447">
        <f t="shared" si="3"/>
        <v>7.3809675396063801</v>
      </c>
      <c r="E30" s="353">
        <f t="shared" si="4"/>
        <v>1.7023090380023023</v>
      </c>
      <c r="F30" s="451">
        <f t="shared" si="1"/>
        <v>11.868</v>
      </c>
    </row>
    <row r="31" spans="1:11" x14ac:dyDescent="0.25">
      <c r="A31" s="321" t="s">
        <v>138</v>
      </c>
      <c r="B31" s="443">
        <f t="shared" si="0"/>
        <v>35.298286079420748</v>
      </c>
      <c r="C31" s="352">
        <f t="shared" si="2"/>
        <v>1.6686761276738082</v>
      </c>
      <c r="D31" s="447">
        <f t="shared" si="3"/>
        <v>33.644418728052251</v>
      </c>
      <c r="E31" s="353">
        <f t="shared" si="4"/>
        <v>3.6452725948463609</v>
      </c>
      <c r="F31" s="451">
        <f t="shared" si="1"/>
        <v>11.868</v>
      </c>
    </row>
    <row r="32" spans="1:11" x14ac:dyDescent="0.25">
      <c r="A32" s="321" t="s">
        <v>139</v>
      </c>
      <c r="B32" s="443">
        <f t="shared" si="0"/>
        <v>37.281821700075724</v>
      </c>
      <c r="C32" s="352">
        <f t="shared" si="2"/>
        <v>1.1746489094307724</v>
      </c>
      <c r="D32" s="447">
        <f t="shared" si="3"/>
        <v>36.847047909418116</v>
      </c>
      <c r="E32" s="353">
        <f t="shared" si="4"/>
        <v>2.0892997598762353</v>
      </c>
      <c r="F32" s="451">
        <f t="shared" si="1"/>
        <v>47.472000000000001</v>
      </c>
    </row>
    <row r="33" spans="1:7" x14ac:dyDescent="0.25">
      <c r="A33" s="321" t="s">
        <v>140</v>
      </c>
      <c r="B33" s="443">
        <f t="shared" si="0"/>
        <v>11.595490764325788</v>
      </c>
      <c r="C33" s="352">
        <f t="shared" si="2"/>
        <v>0.88831006656556155</v>
      </c>
      <c r="D33" s="447">
        <f t="shared" si="3"/>
        <v>8.1435983885088898</v>
      </c>
      <c r="E33" s="353">
        <f t="shared" si="4"/>
        <v>1.653230288850549</v>
      </c>
      <c r="F33" s="451">
        <f t="shared" si="1"/>
        <v>11.868</v>
      </c>
    </row>
    <row r="34" spans="1:7" x14ac:dyDescent="0.25">
      <c r="A34" s="321" t="s">
        <v>141</v>
      </c>
      <c r="B34" s="443">
        <f t="shared" si="0"/>
        <v>13.569981937985654</v>
      </c>
      <c r="C34" s="352">
        <f t="shared" si="2"/>
        <v>1.0838910546408813</v>
      </c>
      <c r="D34" s="447">
        <f t="shared" si="3"/>
        <v>19.875462425087427</v>
      </c>
      <c r="E34" s="353">
        <f t="shared" si="4"/>
        <v>2.2707997551772654</v>
      </c>
      <c r="F34" s="451">
        <f t="shared" si="1"/>
        <v>39.56</v>
      </c>
    </row>
    <row r="35" spans="1:7" x14ac:dyDescent="0.25">
      <c r="A35" s="321" t="s">
        <v>142</v>
      </c>
      <c r="B35" s="443">
        <f t="shared" si="0"/>
        <v>8.726121883372608</v>
      </c>
      <c r="C35" s="352">
        <f t="shared" si="2"/>
        <v>0.61708526921170748</v>
      </c>
      <c r="D35" s="447">
        <f t="shared" si="3"/>
        <v>9.4286623860523076</v>
      </c>
      <c r="E35" s="353">
        <f t="shared" si="4"/>
        <v>1.0571729078221308</v>
      </c>
      <c r="F35" s="451">
        <f t="shared" si="1"/>
        <v>15.824000000000002</v>
      </c>
    </row>
    <row r="36" spans="1:7" ht="15" customHeight="1" x14ac:dyDescent="0.25">
      <c r="A36" s="321" t="s">
        <v>143</v>
      </c>
      <c r="B36" s="443">
        <f t="shared" si="0"/>
        <v>10.822147139457009</v>
      </c>
      <c r="C36" s="352">
        <f t="shared" si="2"/>
        <v>1.4658618398403638</v>
      </c>
      <c r="D36" s="447">
        <f t="shared" si="3"/>
        <v>16.609518872379603</v>
      </c>
      <c r="E36" s="353">
        <f t="shared" si="4"/>
        <v>2.4740546323275012</v>
      </c>
      <c r="F36" s="451">
        <f t="shared" si="1"/>
        <v>27.692000000000004</v>
      </c>
    </row>
    <row r="37" spans="1:7" x14ac:dyDescent="0.25">
      <c r="A37" s="321" t="s">
        <v>144</v>
      </c>
      <c r="B37" s="443">
        <f t="shared" si="0"/>
        <v>1.571969453806678</v>
      </c>
      <c r="C37" s="352">
        <f t="shared" si="2"/>
        <v>0.25236964237281412</v>
      </c>
      <c r="D37" s="447">
        <f t="shared" si="3"/>
        <v>2.6301364464540353</v>
      </c>
      <c r="E37" s="353">
        <f t="shared" si="4"/>
        <v>0.92523842013381818</v>
      </c>
      <c r="F37" s="451">
        <f t="shared" si="1"/>
        <v>3.9560000000000004</v>
      </c>
    </row>
    <row r="38" spans="1:7" x14ac:dyDescent="0.25">
      <c r="A38" s="321" t="s">
        <v>266</v>
      </c>
      <c r="B38" s="444" t="s">
        <v>145</v>
      </c>
      <c r="C38" s="354" t="s">
        <v>145</v>
      </c>
      <c r="D38" s="448" t="s">
        <v>145</v>
      </c>
      <c r="E38" s="332" t="s">
        <v>145</v>
      </c>
      <c r="F38" s="452" t="s">
        <v>145</v>
      </c>
    </row>
    <row r="39" spans="1:7" ht="30" customHeight="1" thickBot="1" x14ac:dyDescent="0.3">
      <c r="A39" s="355" t="s">
        <v>62</v>
      </c>
      <c r="B39" s="445">
        <f t="shared" ref="B39:D39" si="5">SUM(B26:B38)</f>
        <v>253.71000000000009</v>
      </c>
      <c r="C39" s="308"/>
      <c r="D39" s="449">
        <f t="shared" si="5"/>
        <v>316.2000000000001</v>
      </c>
      <c r="E39" s="356"/>
      <c r="F39" s="453">
        <f>SUM(F26:F38)</f>
        <v>395.6</v>
      </c>
    </row>
    <row r="40" spans="1:7" ht="29.25" customHeight="1" x14ac:dyDescent="0.25">
      <c r="A40" s="602" t="s">
        <v>270</v>
      </c>
      <c r="B40" s="602"/>
      <c r="C40" s="602"/>
      <c r="D40" s="602"/>
      <c r="E40" s="602"/>
      <c r="F40" s="602"/>
      <c r="G40" s="602"/>
    </row>
    <row r="41" spans="1:7" x14ac:dyDescent="0.25">
      <c r="B41" s="313">
        <v>2017</v>
      </c>
      <c r="C41" s="357"/>
      <c r="D41" s="357"/>
    </row>
    <row r="42" spans="1:7" ht="15.75" customHeight="1" x14ac:dyDescent="0.25">
      <c r="A42" s="314" t="s">
        <v>167</v>
      </c>
      <c r="B42" s="345">
        <v>253.71</v>
      </c>
    </row>
    <row r="43" spans="1:7" ht="20.100000000000001" customHeight="1" x14ac:dyDescent="0.25">
      <c r="A43" s="310" t="s">
        <v>250</v>
      </c>
      <c r="B43" s="346">
        <v>16399677.298193235</v>
      </c>
    </row>
    <row r="44" spans="1:7" ht="20.100000000000001" customHeight="1" x14ac:dyDescent="0.25"/>
  </sheetData>
  <mergeCells count="3">
    <mergeCell ref="B3:F3"/>
    <mergeCell ref="B23:F23"/>
    <mergeCell ref="A40:G40"/>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E8" sqref="E8"/>
    </sheetView>
  </sheetViews>
  <sheetFormatPr baseColWidth="10" defaultRowHeight="12.75" x14ac:dyDescent="0.2"/>
  <cols>
    <col min="1" max="1" width="28.7109375" customWidth="1"/>
  </cols>
  <sheetData>
    <row r="1" spans="1:6" ht="26.25" customHeight="1" x14ac:dyDescent="0.2">
      <c r="A1" s="68"/>
      <c r="B1" s="603" t="s">
        <v>146</v>
      </c>
      <c r="C1" s="604"/>
      <c r="D1" s="604"/>
      <c r="E1" s="604"/>
      <c r="F1" s="605"/>
    </row>
    <row r="2" spans="1:6" ht="25.5" customHeight="1" x14ac:dyDescent="0.2">
      <c r="A2" s="222" t="s">
        <v>132</v>
      </c>
      <c r="B2" s="64">
        <v>1993</v>
      </c>
      <c r="C2" s="64">
        <v>2007</v>
      </c>
      <c r="D2" s="70" t="s">
        <v>147</v>
      </c>
      <c r="E2" s="65">
        <v>2017</v>
      </c>
      <c r="F2" s="70" t="s">
        <v>148</v>
      </c>
    </row>
    <row r="3" spans="1:6" ht="15" x14ac:dyDescent="0.2">
      <c r="A3" s="223" t="s">
        <v>133</v>
      </c>
      <c r="B3" s="52">
        <v>118.68</v>
      </c>
      <c r="C3" s="52">
        <v>125.07340615128476</v>
      </c>
      <c r="D3" s="69">
        <v>14.090576356428759</v>
      </c>
      <c r="E3" s="66">
        <v>83.11319556679274</v>
      </c>
      <c r="F3" s="69">
        <v>3.336747672749067</v>
      </c>
    </row>
    <row r="4" spans="1:6" ht="15" x14ac:dyDescent="0.2">
      <c r="A4" s="223" t="s">
        <v>134</v>
      </c>
      <c r="B4" s="52">
        <v>63.296000000000006</v>
      </c>
      <c r="C4" s="52">
        <v>33.054834857737646</v>
      </c>
      <c r="D4" s="69">
        <v>3.3815865276790755</v>
      </c>
      <c r="E4" s="66">
        <v>21.851558099342142</v>
      </c>
      <c r="F4" s="69">
        <v>1.4318389518272987</v>
      </c>
    </row>
    <row r="5" spans="1:6" ht="15" x14ac:dyDescent="0.2">
      <c r="A5" s="223" t="s">
        <v>135</v>
      </c>
      <c r="B5" s="52">
        <v>39.56</v>
      </c>
      <c r="C5" s="52">
        <v>18.101442012442529</v>
      </c>
      <c r="D5" s="69">
        <v>1.6772487555653122</v>
      </c>
      <c r="E5" s="66">
        <v>16.257918177495313</v>
      </c>
      <c r="F5" s="69">
        <v>0.9907183792077453</v>
      </c>
    </row>
    <row r="6" spans="1:6" ht="15" x14ac:dyDescent="0.2">
      <c r="A6" s="223" t="s">
        <v>136</v>
      </c>
      <c r="B6" s="52">
        <v>3.9560000000000004</v>
      </c>
      <c r="C6" s="52">
        <v>5.4105042829760563</v>
      </c>
      <c r="D6" s="69">
        <v>1.0993365119424774</v>
      </c>
      <c r="E6" s="66">
        <v>5.9298839022628433</v>
      </c>
      <c r="F6" s="69">
        <v>0.36327191500129541</v>
      </c>
    </row>
    <row r="7" spans="1:6" ht="15" x14ac:dyDescent="0.2">
      <c r="A7" s="223" t="s">
        <v>137</v>
      </c>
      <c r="B7" s="52">
        <v>11.868</v>
      </c>
      <c r="C7" s="52">
        <v>7.3809675396063801</v>
      </c>
      <c r="D7" s="69">
        <v>1.7023090380023023</v>
      </c>
      <c r="E7" s="66">
        <v>7.6916252956628215</v>
      </c>
      <c r="F7" s="69">
        <v>0.61522873266250577</v>
      </c>
    </row>
    <row r="8" spans="1:6" ht="15" x14ac:dyDescent="0.2">
      <c r="A8" s="223" t="s">
        <v>138</v>
      </c>
      <c r="B8" s="52">
        <v>11.868</v>
      </c>
      <c r="C8" s="52">
        <v>33.644418728052251</v>
      </c>
      <c r="D8" s="69">
        <v>3.6452725948463609</v>
      </c>
      <c r="E8" s="66">
        <v>35.298286079420748</v>
      </c>
      <c r="F8" s="69">
        <v>1.6686761276738082</v>
      </c>
    </row>
    <row r="9" spans="1:6" ht="15" x14ac:dyDescent="0.2">
      <c r="A9" s="223" t="s">
        <v>139</v>
      </c>
      <c r="B9" s="52">
        <v>47.472000000000001</v>
      </c>
      <c r="C9" s="52">
        <v>36.847047909418116</v>
      </c>
      <c r="D9" s="69">
        <v>2.0892997598762353</v>
      </c>
      <c r="E9" s="66">
        <v>37.281821700075724</v>
      </c>
      <c r="F9" s="69">
        <v>1.1746489094307724</v>
      </c>
    </row>
    <row r="10" spans="1:6" ht="15" x14ac:dyDescent="0.2">
      <c r="A10" s="223" t="s">
        <v>140</v>
      </c>
      <c r="B10" s="52">
        <v>11.868</v>
      </c>
      <c r="C10" s="52">
        <v>8.1435983885088898</v>
      </c>
      <c r="D10" s="69">
        <v>1.653230288850549</v>
      </c>
      <c r="E10" s="66">
        <v>11.595490764325788</v>
      </c>
      <c r="F10" s="69">
        <v>0.88831006656556155</v>
      </c>
    </row>
    <row r="11" spans="1:6" ht="15" x14ac:dyDescent="0.2">
      <c r="A11" s="223" t="s">
        <v>141</v>
      </c>
      <c r="B11" s="52">
        <v>39.56</v>
      </c>
      <c r="C11" s="52">
        <v>19.875462425087427</v>
      </c>
      <c r="D11" s="69">
        <v>2.2707997551772654</v>
      </c>
      <c r="E11" s="66">
        <v>13.569981937985654</v>
      </c>
      <c r="F11" s="69">
        <v>1.0838910546408813</v>
      </c>
    </row>
    <row r="12" spans="1:6" ht="15" x14ac:dyDescent="0.2">
      <c r="A12" s="223" t="s">
        <v>142</v>
      </c>
      <c r="B12" s="52">
        <v>15.824000000000002</v>
      </c>
      <c r="C12" s="52">
        <v>9.4286623860523076</v>
      </c>
      <c r="D12" s="69">
        <v>1.0571729078221308</v>
      </c>
      <c r="E12" s="66">
        <v>8.726121883372608</v>
      </c>
      <c r="F12" s="69">
        <v>0.61708526921170748</v>
      </c>
    </row>
    <row r="13" spans="1:6" ht="15" x14ac:dyDescent="0.2">
      <c r="A13" s="223" t="s">
        <v>143</v>
      </c>
      <c r="B13" s="52">
        <v>27.692000000000004</v>
      </c>
      <c r="C13" s="52">
        <v>16.609518872379603</v>
      </c>
      <c r="D13" s="69">
        <v>2.4740546323275012</v>
      </c>
      <c r="E13" s="66">
        <v>10.822147139457009</v>
      </c>
      <c r="F13" s="69">
        <v>1.4658618398403638</v>
      </c>
    </row>
    <row r="14" spans="1:6" ht="15" x14ac:dyDescent="0.2">
      <c r="A14" s="223" t="s">
        <v>144</v>
      </c>
      <c r="B14" s="52">
        <v>3.9560000000000004</v>
      </c>
      <c r="C14" s="52">
        <v>2.6301364464540353</v>
      </c>
      <c r="D14" s="69">
        <v>0.92523842013381818</v>
      </c>
      <c r="E14" s="66">
        <v>1.571969453806678</v>
      </c>
      <c r="F14" s="69">
        <v>0.25236964237281412</v>
      </c>
    </row>
    <row r="15" spans="1:6" ht="15" x14ac:dyDescent="0.2">
      <c r="A15" s="67" t="s">
        <v>62</v>
      </c>
      <c r="B15" s="454">
        <v>395.6</v>
      </c>
      <c r="C15" s="454">
        <v>316.2000000000001</v>
      </c>
      <c r="D15" s="455"/>
      <c r="E15" s="456">
        <v>253.71000000000009</v>
      </c>
      <c r="F15" s="70"/>
    </row>
  </sheetData>
  <mergeCells count="1">
    <mergeCell ref="B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D3" sqref="D3"/>
    </sheetView>
  </sheetViews>
  <sheetFormatPr baseColWidth="10" defaultRowHeight="12.75" x14ac:dyDescent="0.2"/>
  <cols>
    <col min="1" max="1" width="31.85546875" customWidth="1"/>
    <col min="2" max="4" width="15.7109375" customWidth="1"/>
  </cols>
  <sheetData>
    <row r="1" spans="1:4" ht="28.5" customHeight="1" x14ac:dyDescent="0.25">
      <c r="A1" s="224"/>
      <c r="B1" s="606" t="s">
        <v>199</v>
      </c>
      <c r="C1" s="606"/>
      <c r="D1" s="606"/>
    </row>
    <row r="2" spans="1:4" ht="30.75" customHeight="1" x14ac:dyDescent="0.2">
      <c r="A2" s="230" t="s">
        <v>0</v>
      </c>
      <c r="B2" s="49" t="s">
        <v>201</v>
      </c>
      <c r="C2" s="49" t="s">
        <v>202</v>
      </c>
      <c r="D2" s="49" t="s">
        <v>203</v>
      </c>
    </row>
    <row r="3" spans="1:4" ht="15" x14ac:dyDescent="0.2">
      <c r="A3" s="225" t="s">
        <v>6</v>
      </c>
      <c r="B3" s="226">
        <v>-0.3</v>
      </c>
      <c r="C3" s="226">
        <v>-0.34</v>
      </c>
      <c r="D3" s="226">
        <v>0.05</v>
      </c>
    </row>
    <row r="4" spans="1:4" ht="15" x14ac:dyDescent="0.2">
      <c r="A4" s="227" t="s">
        <v>12</v>
      </c>
      <c r="B4" s="228">
        <v>-0.65</v>
      </c>
      <c r="C4" s="228">
        <v>-0.34</v>
      </c>
      <c r="D4" s="228">
        <v>-0.48</v>
      </c>
    </row>
    <row r="5" spans="1:4" ht="15" x14ac:dyDescent="0.2">
      <c r="A5" s="229" t="s">
        <v>18</v>
      </c>
      <c r="B5" s="226">
        <v>-0.59</v>
      </c>
      <c r="C5" s="226">
        <v>-0.1</v>
      </c>
      <c r="D5" s="226">
        <v>-0.54</v>
      </c>
    </row>
    <row r="6" spans="1:4" ht="15" x14ac:dyDescent="0.2">
      <c r="A6" s="227" t="s">
        <v>22</v>
      </c>
      <c r="B6" s="228">
        <v>0.48</v>
      </c>
      <c r="C6" s="228">
        <v>0.1</v>
      </c>
      <c r="D6" s="228">
        <v>0.35</v>
      </c>
    </row>
    <row r="7" spans="1:4" ht="15" x14ac:dyDescent="0.2">
      <c r="A7" s="229" t="s">
        <v>26</v>
      </c>
      <c r="B7" s="226">
        <v>-0.35</v>
      </c>
      <c r="C7" s="226">
        <v>0.04</v>
      </c>
      <c r="D7" s="226">
        <v>-0.38</v>
      </c>
    </row>
    <row r="8" spans="1:4" ht="15" x14ac:dyDescent="0.2">
      <c r="A8" s="227" t="s">
        <v>27</v>
      </c>
      <c r="B8" s="228">
        <v>1.97</v>
      </c>
      <c r="C8" s="228">
        <v>0.05</v>
      </c>
      <c r="D8" s="228">
        <v>1.82</v>
      </c>
    </row>
    <row r="9" spans="1:4" ht="15" x14ac:dyDescent="0.2">
      <c r="A9" s="229" t="s">
        <v>31</v>
      </c>
      <c r="B9" s="226">
        <v>-0.22</v>
      </c>
      <c r="C9" s="226">
        <v>0.01</v>
      </c>
      <c r="D9" s="226">
        <v>-0.23</v>
      </c>
    </row>
    <row r="10" spans="1:4" ht="15" x14ac:dyDescent="0.2">
      <c r="A10" s="227" t="s">
        <v>39</v>
      </c>
      <c r="B10" s="228">
        <v>-0.03</v>
      </c>
      <c r="C10" s="228">
        <v>0.43</v>
      </c>
      <c r="D10" s="228">
        <v>-0.32</v>
      </c>
    </row>
    <row r="11" spans="1:4" ht="15" x14ac:dyDescent="0.2">
      <c r="A11" s="229" t="s">
        <v>44</v>
      </c>
      <c r="B11" s="226">
        <v>-0.66</v>
      </c>
      <c r="C11" s="226">
        <v>-0.32</v>
      </c>
      <c r="D11" s="226">
        <v>-0.5</v>
      </c>
    </row>
    <row r="12" spans="1:4" ht="15" x14ac:dyDescent="0.2">
      <c r="A12" s="227" t="s">
        <v>48</v>
      </c>
      <c r="B12" s="228">
        <v>-0.45</v>
      </c>
      <c r="C12" s="228">
        <v>-7.0000000000000007E-2</v>
      </c>
      <c r="D12" s="228">
        <v>-0.41</v>
      </c>
    </row>
    <row r="13" spans="1:4" ht="15" x14ac:dyDescent="0.2">
      <c r="A13" s="229" t="s">
        <v>53</v>
      </c>
      <c r="B13" s="226">
        <v>-0.61</v>
      </c>
      <c r="C13" s="226">
        <v>-0.35</v>
      </c>
      <c r="D13" s="226">
        <v>-0.4</v>
      </c>
    </row>
    <row r="14" spans="1:4" ht="15" x14ac:dyDescent="0.2">
      <c r="A14" s="227" t="s">
        <v>56</v>
      </c>
      <c r="B14" s="228">
        <v>-0.61</v>
      </c>
      <c r="C14" s="228">
        <v>-0.4</v>
      </c>
      <c r="D14" s="228">
        <v>-0.35</v>
      </c>
    </row>
    <row r="15" spans="1:4" ht="15" x14ac:dyDescent="0.2">
      <c r="A15" s="49" t="s">
        <v>200</v>
      </c>
      <c r="B15" s="228">
        <v>-0.36</v>
      </c>
      <c r="C15" s="228">
        <v>-0.2</v>
      </c>
      <c r="D15" s="228">
        <v>-0.2</v>
      </c>
    </row>
  </sheetData>
  <mergeCells count="1">
    <mergeCell ref="B1:D1"/>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zoomScale="80" zoomScaleNormal="80" workbookViewId="0">
      <selection activeCell="A2" sqref="A2"/>
    </sheetView>
  </sheetViews>
  <sheetFormatPr baseColWidth="10" defaultColWidth="11.42578125" defaultRowHeight="15" x14ac:dyDescent="0.25"/>
  <cols>
    <col min="1" max="1" width="32.85546875" style="258" customWidth="1"/>
    <col min="2" max="7" width="15.7109375" style="258" customWidth="1"/>
    <col min="8" max="8" width="20.7109375" style="258" customWidth="1"/>
    <col min="9" max="9" width="28.42578125" style="258" customWidth="1"/>
    <col min="10" max="12" width="12.7109375" style="258" customWidth="1"/>
    <col min="13" max="13" width="10.7109375" style="258" customWidth="1"/>
    <col min="14" max="14" width="11.5703125" style="258" customWidth="1"/>
    <col min="15" max="15" width="10.42578125" style="258" customWidth="1"/>
    <col min="16" max="20" width="11.42578125" style="258"/>
    <col min="21" max="21" width="11.42578125" style="258" customWidth="1"/>
    <col min="22" max="22" width="43.7109375" style="258" customWidth="1"/>
    <col min="23" max="23" width="11.42578125" style="258"/>
    <col min="24" max="24" width="12.5703125" style="258" customWidth="1"/>
    <col min="25" max="25" width="13.5703125" style="258" customWidth="1"/>
    <col min="26" max="26" width="11.42578125" style="258"/>
    <col min="27" max="27" width="45.85546875" style="258" customWidth="1"/>
    <col min="28" max="16384" width="11.42578125" style="258"/>
  </cols>
  <sheetData>
    <row r="1" spans="1:24" x14ac:dyDescent="0.25">
      <c r="A1" s="258" t="s">
        <v>188</v>
      </c>
      <c r="V1" s="345" t="s">
        <v>279</v>
      </c>
      <c r="W1" s="345">
        <v>0.25</v>
      </c>
      <c r="X1" s="291">
        <v>15943758</v>
      </c>
    </row>
    <row r="2" spans="1:24" ht="30" customHeight="1" x14ac:dyDescent="0.25">
      <c r="A2" s="378" t="s">
        <v>271</v>
      </c>
      <c r="B2" s="379" t="s">
        <v>272</v>
      </c>
      <c r="C2" s="380" t="s">
        <v>231</v>
      </c>
      <c r="U2" s="345" t="s">
        <v>280</v>
      </c>
      <c r="V2" s="345"/>
      <c r="W2" s="291">
        <v>64639133</v>
      </c>
    </row>
    <row r="3" spans="1:24" x14ac:dyDescent="0.25">
      <c r="A3" s="263" t="s">
        <v>6</v>
      </c>
      <c r="B3" s="361">
        <v>1.334037369038654</v>
      </c>
      <c r="C3" s="381">
        <v>0.31243460475980772</v>
      </c>
    </row>
    <row r="4" spans="1:24" x14ac:dyDescent="0.25">
      <c r="A4" s="263" t="s">
        <v>12</v>
      </c>
      <c r="B4" s="361">
        <v>46.052132297641101</v>
      </c>
      <c r="C4" s="381">
        <v>2.4064078870413081</v>
      </c>
    </row>
    <row r="5" spans="1:24" x14ac:dyDescent="0.25">
      <c r="A5" s="263" t="s">
        <v>18</v>
      </c>
      <c r="B5" s="361">
        <v>25.258173293393721</v>
      </c>
      <c r="C5" s="381">
        <v>2.1676236460895888</v>
      </c>
    </row>
    <row r="6" spans="1:24" x14ac:dyDescent="0.25">
      <c r="A6" s="263" t="s">
        <v>22</v>
      </c>
      <c r="B6" s="361">
        <v>2.2660533685641888</v>
      </c>
      <c r="C6" s="381">
        <v>0.19621269559523191</v>
      </c>
    </row>
    <row r="7" spans="1:24" x14ac:dyDescent="0.25">
      <c r="A7" s="263" t="s">
        <v>26</v>
      </c>
      <c r="B7" s="361">
        <v>0.48298341789964261</v>
      </c>
      <c r="C7" s="381">
        <v>0.13170190443539359</v>
      </c>
    </row>
    <row r="8" spans="1:24" x14ac:dyDescent="0.25">
      <c r="A8" s="263" t="s">
        <v>27</v>
      </c>
      <c r="B8" s="361">
        <v>0.7229978911197904</v>
      </c>
      <c r="C8" s="381">
        <v>0.1162962832806031</v>
      </c>
    </row>
    <row r="9" spans="1:24" x14ac:dyDescent="0.25">
      <c r="A9" s="263" t="s">
        <v>31</v>
      </c>
      <c r="B9" s="361">
        <v>15.177915742578399</v>
      </c>
      <c r="C9" s="381">
        <v>1.0713365442985141</v>
      </c>
    </row>
    <row r="10" spans="1:24" x14ac:dyDescent="0.25">
      <c r="A10" s="263" t="s">
        <v>39</v>
      </c>
      <c r="B10" s="361">
        <v>1.227335094355581</v>
      </c>
      <c r="C10" s="381">
        <v>0.26798126759846902</v>
      </c>
    </row>
    <row r="11" spans="1:24" x14ac:dyDescent="0.25">
      <c r="A11" s="263" t="s">
        <v>44</v>
      </c>
      <c r="B11" s="361">
        <v>1.1923051475563371</v>
      </c>
      <c r="C11" s="381">
        <v>0.23804519616488701</v>
      </c>
    </row>
    <row r="12" spans="1:24" x14ac:dyDescent="0.25">
      <c r="A12" s="263" t="s">
        <v>48</v>
      </c>
      <c r="B12" s="361">
        <v>4.7823458518466904</v>
      </c>
      <c r="C12" s="381">
        <v>0.47473518763291678</v>
      </c>
    </row>
    <row r="13" spans="1:24" x14ac:dyDescent="0.25">
      <c r="A13" s="263" t="s">
        <v>53</v>
      </c>
      <c r="B13" s="361">
        <v>0.32443431171592929</v>
      </c>
      <c r="C13" s="381">
        <v>9.0732753717414738E-2</v>
      </c>
    </row>
    <row r="14" spans="1:24" x14ac:dyDescent="0.25">
      <c r="A14" s="263" t="s">
        <v>56</v>
      </c>
      <c r="B14" s="361">
        <v>0.47936277877676281</v>
      </c>
      <c r="C14" s="381">
        <v>0.1052148598700553</v>
      </c>
    </row>
    <row r="15" spans="1:24" x14ac:dyDescent="0.25">
      <c r="A15" s="269" t="s">
        <v>152</v>
      </c>
      <c r="B15" s="382">
        <v>0.69992343551319525</v>
      </c>
      <c r="C15" s="383">
        <v>0.16379588385874311</v>
      </c>
    </row>
    <row r="18" spans="1:16" x14ac:dyDescent="0.25">
      <c r="A18" s="258" t="s">
        <v>281</v>
      </c>
      <c r="I18" s="385"/>
      <c r="J18" s="386"/>
      <c r="K18" s="387"/>
      <c r="L18" s="388"/>
      <c r="M18" s="384"/>
      <c r="N18" s="384"/>
      <c r="O18" s="384"/>
      <c r="P18" s="384"/>
    </row>
    <row r="19" spans="1:16" x14ac:dyDescent="0.25">
      <c r="A19" s="258" t="s">
        <v>282</v>
      </c>
      <c r="B19" s="258" t="s">
        <v>283</v>
      </c>
      <c r="C19" s="258" t="s">
        <v>284</v>
      </c>
      <c r="D19" s="258" t="s">
        <v>285</v>
      </c>
      <c r="I19" s="389"/>
      <c r="J19" s="390"/>
      <c r="K19" s="390"/>
      <c r="L19" s="388"/>
      <c r="M19" s="384"/>
      <c r="N19" s="384"/>
      <c r="O19" s="384"/>
      <c r="P19" s="384"/>
    </row>
    <row r="20" spans="1:16" ht="27.75" customHeight="1" x14ac:dyDescent="0.25">
      <c r="A20" s="258" t="s">
        <v>286</v>
      </c>
      <c r="B20" s="294">
        <v>64639133</v>
      </c>
      <c r="C20" s="294">
        <v>3201899.6973525598</v>
      </c>
      <c r="D20" s="391">
        <v>49.535003777859501</v>
      </c>
      <c r="I20" s="389"/>
      <c r="J20" s="607"/>
      <c r="K20" s="607"/>
      <c r="L20" s="607"/>
      <c r="M20" s="608"/>
      <c r="N20" s="608"/>
      <c r="O20" s="608"/>
      <c r="P20" s="384"/>
    </row>
    <row r="21" spans="1:16" x14ac:dyDescent="0.25">
      <c r="I21" s="258">
        <f>22.81+1.19</f>
        <v>24</v>
      </c>
    </row>
    <row r="24" spans="1:16" ht="33.75" customHeight="1" x14ac:dyDescent="0.25">
      <c r="A24" s="378" t="s">
        <v>159</v>
      </c>
      <c r="B24" s="392" t="s">
        <v>274</v>
      </c>
      <c r="C24" s="392" t="s">
        <v>287</v>
      </c>
      <c r="D24" s="261" t="s">
        <v>288</v>
      </c>
      <c r="E24" s="262" t="s">
        <v>4</v>
      </c>
      <c r="F24" s="262" t="s">
        <v>151</v>
      </c>
      <c r="G24" s="262" t="s">
        <v>5</v>
      </c>
    </row>
    <row r="25" spans="1:16" ht="17.100000000000001" customHeight="1" x14ac:dyDescent="0.25">
      <c r="A25" s="263" t="s">
        <v>6</v>
      </c>
      <c r="B25" s="393">
        <v>1.334037369038654</v>
      </c>
      <c r="C25" s="393">
        <v>0.31243460475980772</v>
      </c>
      <c r="D25" s="394">
        <f>(B3/100)*Tableau3[RATIO_RSOM]</f>
        <v>0.66081546115135481</v>
      </c>
      <c r="E25" s="395">
        <f>(Tableau5[[#This Row],[IC
(%)]]/Tableau5[[#This Row],[Moyenne 
(%)]])*D25</f>
        <v>0.15476449327111116</v>
      </c>
      <c r="F25" s="396">
        <f>(B3/100)*Tableau3[TONNAGE RSOM]</f>
        <v>42714.538481818716</v>
      </c>
      <c r="G25" s="396">
        <f>Tableau5[[#This Row],[Gisement 
(t/an)]]*(Tableau5[[#This Row],[IC
(%)]]/Tableau5[[#This Row],[Moyenne 
(%)]])</f>
        <v>10003.842664228951</v>
      </c>
    </row>
    <row r="26" spans="1:16" ht="17.100000000000001" customHeight="1" x14ac:dyDescent="0.25">
      <c r="A26" s="263" t="s">
        <v>12</v>
      </c>
      <c r="B26" s="393">
        <v>46.052132297641101</v>
      </c>
      <c r="C26" s="393">
        <v>2.4064078870413081</v>
      </c>
      <c r="D26" s="394">
        <f>(B4/100)*Tableau3[RATIO_RSOM]</f>
        <v>22.811925473421375</v>
      </c>
      <c r="E26" s="395">
        <f>(Tableau5[[#This Row],[IC
(%)]]/Tableau5[[#This Row],[Moyenne 
(%)]])*D26</f>
        <v>1.1920142377566212</v>
      </c>
      <c r="F26" s="396">
        <f>(B4/100)*Tableau3[TONNAGE RSOM]</f>
        <v>1474543.0846625709</v>
      </c>
      <c r="G26" s="396">
        <f>Tableau5[[#This Row],[Gisement 
(t/an)]]*(Tableau5[[#This Row],[IC
(%)]]/Tableau5[[#This Row],[Moyenne 
(%)]])</f>
        <v>77050.766852243774</v>
      </c>
    </row>
    <row r="27" spans="1:16" ht="17.100000000000001" customHeight="1" x14ac:dyDescent="0.25">
      <c r="A27" s="263" t="s">
        <v>18</v>
      </c>
      <c r="B27" s="393">
        <v>25.258173293393721</v>
      </c>
      <c r="C27" s="393">
        <v>2.1676236460895888</v>
      </c>
      <c r="D27" s="394">
        <f>(B5/100)*Tableau3[RATIO_RSOM]</f>
        <v>12.511637095100879</v>
      </c>
      <c r="E27" s="395">
        <f>(Tableau5[[#This Row],[IC
(%)]]/Tableau5[[#This Row],[Moyenne 
(%)]])*D27</f>
        <v>1.0737324549802536</v>
      </c>
      <c r="F27" s="396">
        <f>(B5/100)*Tableau3[TONNAGE RSOM]</f>
        <v>808741.37423795857</v>
      </c>
      <c r="G27" s="396">
        <f>Tableau5[[#This Row],[Gisement 
(t/an)]]*(Tableau5[[#This Row],[IC
(%)]]/Tableau5[[#This Row],[Moyenne 
(%)]])</f>
        <v>69405.134963885052</v>
      </c>
    </row>
    <row r="28" spans="1:16" ht="17.100000000000001" customHeight="1" x14ac:dyDescent="0.25">
      <c r="A28" s="263" t="s">
        <v>22</v>
      </c>
      <c r="B28" s="393">
        <v>2.2660533685641888</v>
      </c>
      <c r="C28" s="393">
        <v>0.19621269559523191</v>
      </c>
      <c r="D28" s="394">
        <f>(B6/100)*Tableau3[RATIO_RSOM]</f>
        <v>1.1224896217265834</v>
      </c>
      <c r="E28" s="395">
        <f>(Tableau5[[#This Row],[IC
(%)]]/Tableau5[[#This Row],[Moyenne 
(%)]])*D28</f>
        <v>9.7193966175738097E-2</v>
      </c>
      <c r="F28" s="396">
        <f>(B6/100)*Tableau3[TONNAGE RSOM]</f>
        <v>72556.75594990424</v>
      </c>
      <c r="G28" s="396">
        <f>Tableau5[[#This Row],[Gisement 
(t/an)]]*(Tableau5[[#This Row],[IC
(%)]]/Tableau5[[#This Row],[Moyenne 
(%)]])</f>
        <v>6282.5337064310297</v>
      </c>
    </row>
    <row r="29" spans="1:16" ht="17.100000000000001" customHeight="1" x14ac:dyDescent="0.25">
      <c r="A29" s="263" t="s">
        <v>26</v>
      </c>
      <c r="B29" s="393">
        <v>0.48298341789964261</v>
      </c>
      <c r="C29" s="393">
        <v>0.13170190443539359</v>
      </c>
      <c r="D29" s="394">
        <f>(B7/100)*Tableau3[RATIO_RSOM]</f>
        <v>0.23924585430302289</v>
      </c>
      <c r="E29" s="395">
        <f>(Tableau5[[#This Row],[IC
(%)]]/Tableau5[[#This Row],[Moyenne 
(%)]])*D29</f>
        <v>6.5238543337585123E-2</v>
      </c>
      <c r="F29" s="396">
        <f>(B7/100)*Tableau3[TONNAGE RSOM]</f>
        <v>15464.644595991706</v>
      </c>
      <c r="G29" s="396">
        <f>Tableau5[[#This Row],[Gisement 
(t/an)]]*(Tableau5[[#This Row],[IC
(%)]]/Tableau5[[#This Row],[Moyenne 
(%)]])</f>
        <v>4216.9628795244253</v>
      </c>
    </row>
    <row r="30" spans="1:16" ht="17.100000000000001" customHeight="1" x14ac:dyDescent="0.25">
      <c r="A30" s="263" t="s">
        <v>27</v>
      </c>
      <c r="B30" s="393">
        <v>0.7229978911197904</v>
      </c>
      <c r="C30" s="393">
        <v>0.1162962832806031</v>
      </c>
      <c r="D30" s="394">
        <f>(B8/100)*Tableau3[RATIO_RSOM]</f>
        <v>0.35813703268003272</v>
      </c>
      <c r="E30" s="395">
        <f>(Tableau5[[#This Row],[IC
(%)]]/Tableau5[[#This Row],[Moyenne 
(%)]])*D30</f>
        <v>5.7607368316556933E-2</v>
      </c>
      <c r="F30" s="396">
        <f>(B8/100)*Tableau3[TONNAGE RSOM]</f>
        <v>23149.66728762996</v>
      </c>
      <c r="G30" s="396">
        <f>Tableau5[[#This Row],[Gisement 
(t/an)]]*(Tableau5[[#This Row],[IC
(%)]]/Tableau5[[#This Row],[Moyenne 
(%)]])</f>
        <v>3723.6903423939061</v>
      </c>
    </row>
    <row r="31" spans="1:16" ht="17.100000000000001" customHeight="1" x14ac:dyDescent="0.25">
      <c r="A31" s="263" t="s">
        <v>31</v>
      </c>
      <c r="B31" s="393">
        <v>15.177915742578399</v>
      </c>
      <c r="C31" s="393">
        <v>1.0713365442985141</v>
      </c>
      <c r="D31" s="394">
        <f>(B9/100)*Tableau3[RATIO_RSOM]</f>
        <v>7.5183811364865418</v>
      </c>
      <c r="E31" s="395">
        <f>(Tableau5[[#This Row],[IC
(%)]]/Tableau5[[#This Row],[Moyenne 
(%)]])*D31</f>
        <v>0.53068659769185833</v>
      </c>
      <c r="F31" s="396">
        <f>(B9/100)*Tableau3[TONNAGE RSOM]</f>
        <v>485981.63822604431</v>
      </c>
      <c r="G31" s="396">
        <f>Tableau5[[#This Row],[Gisement 
(t/an)]]*(Tableau5[[#This Row],[IC
(%)]]/Tableau5[[#This Row],[Moyenne 
(%)]])</f>
        <v>34303.121569521492</v>
      </c>
    </row>
    <row r="32" spans="1:16" ht="17.100000000000001" customHeight="1" x14ac:dyDescent="0.25">
      <c r="A32" s="263" t="s">
        <v>39</v>
      </c>
      <c r="B32" s="393">
        <v>1.227335094355581</v>
      </c>
      <c r="C32" s="393">
        <v>0.26798126759846902</v>
      </c>
      <c r="D32" s="394">
        <f>(B10/100)*Tableau3[RATIO_RSOM]</f>
        <v>0.60796048535603253</v>
      </c>
      <c r="E32" s="395">
        <f>(Tableau5[[#This Row],[IC
(%)]]/Tableau5[[#This Row],[Moyenne 
(%)]])*D32</f>
        <v>0.13274453102885742</v>
      </c>
      <c r="F32" s="396">
        <f>(B10/100)*Tableau3[TONNAGE RSOM]</f>
        <v>39298.038671673101</v>
      </c>
      <c r="G32" s="396">
        <f>Tableau5[[#This Row],[Gisement 
(t/an)]]*(Tableau5[[#This Row],[IC
(%)]]/Tableau5[[#This Row],[Moyenne 
(%)]])</f>
        <v>8580.4913961969323</v>
      </c>
    </row>
    <row r="33" spans="1:7" ht="17.100000000000001" customHeight="1" x14ac:dyDescent="0.25">
      <c r="A33" s="263" t="s">
        <v>44</v>
      </c>
      <c r="B33" s="393">
        <v>1.1923051475563371</v>
      </c>
      <c r="C33" s="393">
        <v>0.23804519616488701</v>
      </c>
      <c r="D33" s="394">
        <f>(B11/100)*Tableau3[RATIO_RSOM]</f>
        <v>0.59060839988564484</v>
      </c>
      <c r="E33" s="395">
        <f>(Tableau5[[#This Row],[IC
(%)]]/Tableau5[[#This Row],[Moyenne 
(%)]])*D33</f>
        <v>0.11791569691328983</v>
      </c>
      <c r="F33" s="396">
        <f>(B11/100)*Tableau3[TONNAGE RSOM]</f>
        <v>38176.41491112535</v>
      </c>
      <c r="G33" s="396">
        <f>Tableau5[[#This Row],[Gisement 
(t/an)]]*(Tableau5[[#This Row],[IC
(%)]]/Tableau5[[#This Row],[Moyenne 
(%)]])</f>
        <v>7621.9684155658251</v>
      </c>
    </row>
    <row r="34" spans="1:7" ht="17.100000000000001" customHeight="1" x14ac:dyDescent="0.25">
      <c r="A34" s="263" t="s">
        <v>48</v>
      </c>
      <c r="B34" s="393">
        <v>4.7823458518466904</v>
      </c>
      <c r="C34" s="393">
        <v>0.47473518763291678</v>
      </c>
      <c r="D34" s="394">
        <f>(B12/100)*Tableau3[RATIO_RSOM]</f>
        <v>2.3689351983825651</v>
      </c>
      <c r="E34" s="395">
        <f>(Tableau5[[#This Row],[IC
(%)]]/Tableau5[[#This Row],[Moyenne 
(%)]])*D34</f>
        <v>0.23516009312879371</v>
      </c>
      <c r="F34" s="396">
        <f>(B12/100)*Tableau3[TONNAGE RSOM]</f>
        <v>153125.91735663186</v>
      </c>
      <c r="G34" s="396">
        <f>Tableau5[[#This Row],[Gisement 
(t/an)]]*(Tableau5[[#This Row],[IC
(%)]]/Tableau5[[#This Row],[Moyenne 
(%)]])</f>
        <v>15200.544536044468</v>
      </c>
    </row>
    <row r="35" spans="1:7" ht="17.100000000000001" customHeight="1" x14ac:dyDescent="0.25">
      <c r="A35" s="263" t="s">
        <v>53</v>
      </c>
      <c r="B35" s="393">
        <v>0.32443431171592929</v>
      </c>
      <c r="C35" s="393">
        <v>9.0732753717414738E-2</v>
      </c>
      <c r="D35" s="394">
        <f>(B13/100)*Tableau3[RATIO_RSOM]</f>
        <v>0.16070854856515804</v>
      </c>
      <c r="E35" s="395">
        <f>(Tableau5[[#This Row],[IC
(%)]]/Tableau5[[#This Row],[Moyenne 
(%)]])*D35</f>
        <v>4.4944472981677343E-2</v>
      </c>
      <c r="F35" s="396">
        <f>(B13/100)*Tableau3[TONNAGE RSOM]</f>
        <v>10388.0612449402</v>
      </c>
      <c r="G35" s="396">
        <f>Tableau5[[#This Row],[Gisement 
(t/an)]]*(Tableau5[[#This Row],[IC
(%)]]/Tableau5[[#This Row],[Moyenne 
(%)]])</f>
        <v>2905.1717666775457</v>
      </c>
    </row>
    <row r="36" spans="1:7" ht="17.100000000000001" customHeight="1" x14ac:dyDescent="0.25">
      <c r="A36" s="263" t="s">
        <v>56</v>
      </c>
      <c r="B36" s="393">
        <v>0.47936277877676281</v>
      </c>
      <c r="C36" s="393">
        <v>0.1052148598700553</v>
      </c>
      <c r="D36" s="394">
        <f>(B14/100)*Tableau3[RATIO_RSOM]</f>
        <v>0.23745237057672172</v>
      </c>
      <c r="E36" s="395">
        <f>(Tableau5[[#This Row],[IC
(%)]]/Tableau5[[#This Row],[Moyenne 
(%)]])*D36</f>
        <v>5.2118184811501468E-2</v>
      </c>
      <c r="F36" s="396">
        <f>(B14/100)*Tableau3[TONNAGE RSOM]</f>
        <v>15348.715362873989</v>
      </c>
      <c r="G36" s="396">
        <f>Tableau5[[#This Row],[Gisement 
(t/an)]]*(Tableau5[[#This Row],[IC
(%)]]/Tableau5[[#This Row],[Moyenne 
(%)]])</f>
        <v>3368.8742797492205</v>
      </c>
    </row>
    <row r="37" spans="1:7" ht="17.100000000000001" customHeight="1" x14ac:dyDescent="0.25">
      <c r="A37" s="263" t="s">
        <v>152</v>
      </c>
      <c r="B37" s="393">
        <v>0.69992343551319525</v>
      </c>
      <c r="C37" s="393">
        <v>0.16379588385874311</v>
      </c>
      <c r="D37" s="394">
        <f>(B15/100)*Tableau3[RATIO_RSOM]</f>
        <v>0.34670710022358525</v>
      </c>
      <c r="E37" s="395">
        <f>(Tableau5[[#This Row],[IC
(%)]]/Tableau5[[#This Row],[Moyenne 
(%)]])*D37</f>
        <v>8.1136297257406759E-2</v>
      </c>
      <c r="F37" s="396">
        <f>(B15/100)*Tableau3[TONNAGE RSOM]</f>
        <v>22410.846363396638</v>
      </c>
      <c r="G37" s="396">
        <f>Tableau5[[#This Row],[Gisement 
(t/an)]]*(Tableau5[[#This Row],[IC
(%)]]/Tableau5[[#This Row],[Moyenne 
(%)]])</f>
        <v>5244.5799095490465</v>
      </c>
    </row>
    <row r="38" spans="1:7" ht="19.5" customHeight="1" x14ac:dyDescent="0.25">
      <c r="A38" s="269" t="s">
        <v>62</v>
      </c>
      <c r="B38" s="397">
        <f>SUM(Tableau5[Moyenne 
(%)])</f>
        <v>100</v>
      </c>
      <c r="C38" s="269"/>
      <c r="D38" s="397">
        <f>SUBTOTAL(109,Tableau5[Ratios
 (kg/hab/an)])</f>
        <v>49.535003777859494</v>
      </c>
      <c r="E38" s="397"/>
      <c r="F38" s="398">
        <f>SUBTOTAL(109,Tableau5[Gisement 
(t/an)])</f>
        <v>3201899.6973525602</v>
      </c>
      <c r="G38" s="271"/>
    </row>
  </sheetData>
  <mergeCells count="2">
    <mergeCell ref="J20:L20"/>
    <mergeCell ref="M20:O20"/>
  </mergeCells>
  <pageMargins left="0.7" right="0.7" top="0.75" bottom="0.75" header="0.3" footer="0.3"/>
  <pageSetup paperSize="9" orientation="portrait" r:id="rId1"/>
  <drawing r:id="rId2"/>
  <tableParts count="3">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3"/>
  <sheetViews>
    <sheetView showGridLines="0" zoomScale="70" zoomScaleNormal="70" workbookViewId="0">
      <selection activeCell="D2" sqref="D2"/>
    </sheetView>
  </sheetViews>
  <sheetFormatPr baseColWidth="10" defaultColWidth="11.42578125" defaultRowHeight="15" x14ac:dyDescent="0.25"/>
  <cols>
    <col min="1" max="1" width="32.85546875" style="258" customWidth="1"/>
    <col min="2" max="6" width="15.7109375" style="258" customWidth="1"/>
    <col min="7" max="7" width="20.7109375" style="258" customWidth="1"/>
    <col min="8" max="8" width="28.42578125" style="258" customWidth="1"/>
    <col min="9" max="11" width="12.7109375" style="258" customWidth="1"/>
    <col min="12" max="12" width="10.7109375" style="258" customWidth="1"/>
    <col min="13" max="13" width="11.5703125" style="258" customWidth="1"/>
    <col min="14" max="14" width="10.42578125" style="258" customWidth="1"/>
    <col min="15" max="19" width="11.42578125" style="258"/>
    <col min="20" max="20" width="11.42578125" style="258" customWidth="1"/>
    <col min="21" max="21" width="43.7109375" style="258" customWidth="1"/>
    <col min="22" max="22" width="11.42578125" style="258"/>
    <col min="23" max="23" width="12.5703125" style="258" customWidth="1"/>
    <col min="24" max="24" width="13.5703125" style="258" customWidth="1"/>
    <col min="25" max="25" width="11.42578125" style="258"/>
    <col min="26" max="26" width="45.85546875" style="258" customWidth="1"/>
    <col min="27" max="16384" width="11.42578125" style="258"/>
  </cols>
  <sheetData>
    <row r="2" spans="1:28" ht="43.5" customHeight="1" x14ac:dyDescent="0.25">
      <c r="A2" s="378" t="s">
        <v>271</v>
      </c>
      <c r="B2" s="379" t="s">
        <v>272</v>
      </c>
      <c r="C2" s="379" t="s">
        <v>231</v>
      </c>
      <c r="Q2" s="260" t="s">
        <v>273</v>
      </c>
      <c r="R2" s="261" t="s">
        <v>274</v>
      </c>
      <c r="S2" s="261" t="s">
        <v>275</v>
      </c>
      <c r="T2" s="261" t="s">
        <v>276</v>
      </c>
    </row>
    <row r="3" spans="1:28" ht="20.100000000000001" customHeight="1" x14ac:dyDescent="0.25">
      <c r="A3" s="263" t="s">
        <v>6</v>
      </c>
      <c r="B3" s="361">
        <v>1.334037369038654</v>
      </c>
      <c r="C3" s="361">
        <v>0.31243460475980772</v>
      </c>
      <c r="Q3" s="263" t="s">
        <v>64</v>
      </c>
      <c r="R3" s="359">
        <v>0.37030204780524406</v>
      </c>
      <c r="S3" s="349" t="e">
        <f>Tableau1554118[[#This Row],[Moyenne 
(%)]]*#REF!/100</f>
        <v>#REF!</v>
      </c>
      <c r="T3" s="360" t="e">
        <f>Tableau1554118[[#This Row],[Ratio CS (kg/hab/an)]]*#REF!/1000</f>
        <v>#REF!</v>
      </c>
    </row>
    <row r="4" spans="1:28" ht="20.100000000000001" customHeight="1" x14ac:dyDescent="0.25">
      <c r="A4" s="263" t="s">
        <v>12</v>
      </c>
      <c r="B4" s="361">
        <v>46.052132297641101</v>
      </c>
      <c r="C4" s="361">
        <v>2.4064078870413081</v>
      </c>
      <c r="Q4" s="263" t="s">
        <v>65</v>
      </c>
      <c r="R4" s="359">
        <v>0.5294509099498248</v>
      </c>
      <c r="S4" s="349" t="e">
        <f>Tableau1554118[[#This Row],[Moyenne 
(%)]]*#REF!/100</f>
        <v>#REF!</v>
      </c>
      <c r="T4" s="360" t="e">
        <f>Tableau1554118[[#This Row],[Ratio CS (kg/hab/an)]]*#REF!/1000</f>
        <v>#REF!</v>
      </c>
    </row>
    <row r="5" spans="1:28" ht="20.100000000000001" customHeight="1" x14ac:dyDescent="0.25">
      <c r="A5" s="263" t="s">
        <v>18</v>
      </c>
      <c r="B5" s="361">
        <v>25.258173293393721</v>
      </c>
      <c r="C5" s="361">
        <v>2.1676236460895888</v>
      </c>
      <c r="Q5" s="263" t="s">
        <v>66</v>
      </c>
      <c r="R5" s="359">
        <v>0.25971078817688853</v>
      </c>
      <c r="S5" s="349" t="e">
        <f>Tableau1554118[[#This Row],[Moyenne 
(%)]]*#REF!/100</f>
        <v>#REF!</v>
      </c>
      <c r="T5" s="360" t="e">
        <f>Tableau1554118[[#This Row],[Ratio CS (kg/hab/an)]]*#REF!/1000</f>
        <v>#REF!</v>
      </c>
    </row>
    <row r="6" spans="1:28" ht="20.100000000000001" customHeight="1" x14ac:dyDescent="0.25">
      <c r="A6" s="263" t="s">
        <v>22</v>
      </c>
      <c r="B6" s="361">
        <v>2.2660533685641888</v>
      </c>
      <c r="C6" s="361">
        <v>0.19621269559523191</v>
      </c>
      <c r="Q6" s="263" t="s">
        <v>67</v>
      </c>
      <c r="R6" s="359">
        <v>5.6816061083618488E-2</v>
      </c>
      <c r="S6" s="349" t="e">
        <f>Tableau1554118[[#This Row],[Moyenne 
(%)]]*#REF!/100</f>
        <v>#REF!</v>
      </c>
      <c r="T6" s="360" t="e">
        <f>Tableau1554118[[#This Row],[Ratio CS (kg/hab/an)]]*#REF!/1000</f>
        <v>#REF!</v>
      </c>
    </row>
    <row r="7" spans="1:28" ht="20.100000000000001" customHeight="1" x14ac:dyDescent="0.25">
      <c r="A7" s="263" t="s">
        <v>26</v>
      </c>
      <c r="B7" s="361">
        <v>0.48298341789964261</v>
      </c>
      <c r="C7" s="361">
        <v>0.13170190443539359</v>
      </c>
      <c r="Q7" s="263" t="s">
        <v>68</v>
      </c>
      <c r="R7" s="359">
        <v>0.1213771764031009</v>
      </c>
      <c r="S7" s="349" t="e">
        <f>Tableau1554118[[#This Row],[Moyenne 
(%)]]*#REF!/100</f>
        <v>#REF!</v>
      </c>
      <c r="T7" s="360" t="e">
        <f>Tableau1554118[[#This Row],[Ratio CS (kg/hab/an)]]*#REF!/1000</f>
        <v>#REF!</v>
      </c>
    </row>
    <row r="8" spans="1:28" ht="20.100000000000001" customHeight="1" x14ac:dyDescent="0.25">
      <c r="A8" s="263" t="s">
        <v>27</v>
      </c>
      <c r="B8" s="361">
        <v>0.7229978911197904</v>
      </c>
      <c r="C8" s="361">
        <v>0.1162962832806031</v>
      </c>
      <c r="Q8" s="362" t="s">
        <v>69</v>
      </c>
      <c r="R8" s="359">
        <v>1.0865575223498987</v>
      </c>
      <c r="S8" s="363" t="e">
        <f>Tableau1554118[[#This Row],[Moyenne 
(%)]]*#REF!/100</f>
        <v>#REF!</v>
      </c>
      <c r="T8" s="364" t="e">
        <f>Tableau1554118[[#This Row],[Ratio CS (kg/hab/an)]]*#REF!/1000</f>
        <v>#REF!</v>
      </c>
      <c r="V8" s="365"/>
      <c r="W8" s="609" t="s">
        <v>180</v>
      </c>
      <c r="X8" s="609"/>
      <c r="Y8" s="609" t="s">
        <v>181</v>
      </c>
      <c r="Z8" s="609"/>
      <c r="AA8" s="609" t="s">
        <v>184</v>
      </c>
      <c r="AB8" s="609"/>
    </row>
    <row r="9" spans="1:28" ht="20.100000000000001" customHeight="1" x14ac:dyDescent="0.25">
      <c r="A9" s="263" t="s">
        <v>31</v>
      </c>
      <c r="B9" s="361">
        <v>15.177915742578399</v>
      </c>
      <c r="C9" s="361">
        <v>1.0713365442985141</v>
      </c>
      <c r="Q9" s="362" t="s">
        <v>70</v>
      </c>
      <c r="R9" s="359">
        <v>14.211317602608348</v>
      </c>
      <c r="S9" s="363" t="e">
        <f>Tableau1554118[[#This Row],[Moyenne 
(%)]]*#REF!/100</f>
        <v>#REF!</v>
      </c>
      <c r="T9" s="364" t="e">
        <f>Tableau1554118[[#This Row],[Ratio CS (kg/hab/an)]]*#REF!/1000</f>
        <v>#REF!</v>
      </c>
      <c r="V9" s="366"/>
      <c r="W9" s="367" t="s">
        <v>158</v>
      </c>
      <c r="X9" s="367" t="s">
        <v>3</v>
      </c>
      <c r="Y9" s="367" t="s">
        <v>158</v>
      </c>
      <c r="Z9" s="367" t="s">
        <v>3</v>
      </c>
      <c r="AA9" s="367" t="s">
        <v>158</v>
      </c>
      <c r="AB9" s="367" t="s">
        <v>3</v>
      </c>
    </row>
    <row r="10" spans="1:28" ht="20.100000000000001" customHeight="1" x14ac:dyDescent="0.25">
      <c r="A10" s="263" t="s">
        <v>39</v>
      </c>
      <c r="B10" s="361">
        <v>1.227335094355581</v>
      </c>
      <c r="C10" s="361">
        <v>0.26798126759846902</v>
      </c>
      <c r="Q10" s="362" t="s">
        <v>71</v>
      </c>
      <c r="R10" s="359">
        <v>21.483656574730457</v>
      </c>
      <c r="S10" s="363" t="e">
        <f>Tableau1554118[[#This Row],[Moyenne 
(%)]]*#REF!/100</f>
        <v>#REF!</v>
      </c>
      <c r="T10" s="364" t="e">
        <f>Tableau1554118[[#This Row],[Ratio CS (kg/hab/an)]]*#REF!/1000</f>
        <v>#REF!</v>
      </c>
      <c r="V10" s="368" t="s">
        <v>182</v>
      </c>
      <c r="W10" s="369" t="e">
        <f>SUM(R8:R16,R26:R27,#REF!)/100</f>
        <v>#REF!</v>
      </c>
      <c r="X10" s="370" t="e">
        <f>SUM(S8:S16,S26:S27,#REF!)</f>
        <v>#REF!</v>
      </c>
      <c r="Y10" s="371"/>
      <c r="Z10" s="371"/>
      <c r="AA10" s="369" t="e">
        <f>SUM(R3:R7,R17:R25,R28:R33,#REF!)/100</f>
        <v>#REF!</v>
      </c>
      <c r="AB10" s="370" t="e">
        <f>#REF!-X10</f>
        <v>#REF!</v>
      </c>
    </row>
    <row r="11" spans="1:28" ht="20.100000000000001" customHeight="1" x14ac:dyDescent="0.25">
      <c r="A11" s="263" t="s">
        <v>44</v>
      </c>
      <c r="B11" s="361">
        <v>1.1923051475563371</v>
      </c>
      <c r="C11" s="361">
        <v>0.23804519616488701</v>
      </c>
      <c r="Q11" s="362" t="s">
        <v>165</v>
      </c>
      <c r="R11" s="359">
        <v>5.2244754809678433</v>
      </c>
      <c r="S11" s="363" t="e">
        <f>Tableau1554118[[#This Row],[Moyenne 
(%)]]*#REF!/100</f>
        <v>#REF!</v>
      </c>
      <c r="T11" s="364" t="e">
        <f>Tableau1554118[[#This Row],[Ratio CS (kg/hab/an)]]*#REF!/1000</f>
        <v>#REF!</v>
      </c>
      <c r="V11" s="372" t="s">
        <v>183</v>
      </c>
      <c r="W11" s="369">
        <v>0.81506320365639406</v>
      </c>
      <c r="X11" s="373">
        <v>40.076227690881232</v>
      </c>
      <c r="Y11" s="369">
        <v>8.0409146885298932E-2</v>
      </c>
      <c r="Z11" s="374">
        <v>3.9536753279359913</v>
      </c>
      <c r="AA11" s="369">
        <v>0.104527649458307</v>
      </c>
      <c r="AB11" s="373">
        <v>5.1395693743643918</v>
      </c>
    </row>
    <row r="12" spans="1:28" ht="20.100000000000001" customHeight="1" x14ac:dyDescent="0.25">
      <c r="A12" s="263" t="s">
        <v>48</v>
      </c>
      <c r="B12" s="361">
        <v>4.7823458518466904</v>
      </c>
      <c r="C12" s="361">
        <v>0.47473518763291678</v>
      </c>
      <c r="Q12" s="362" t="s">
        <v>73</v>
      </c>
      <c r="R12" s="359">
        <v>3.114283953417504</v>
      </c>
      <c r="S12" s="363" t="e">
        <f>Tableau1554118[[#This Row],[Moyenne 
(%)]]*#REF!/100</f>
        <v>#REF!</v>
      </c>
      <c r="T12" s="364" t="e">
        <f>Tableau1554118[[#This Row],[Ratio CS (kg/hab/an)]]*#REF!/1000</f>
        <v>#REF!</v>
      </c>
      <c r="V12" s="610" t="s">
        <v>277</v>
      </c>
      <c r="W12" s="610"/>
      <c r="X12" s="610"/>
      <c r="Y12" s="610"/>
      <c r="Z12" s="610"/>
      <c r="AA12" s="329">
        <f>(R17+R24+R25+R28+R30)/100</f>
        <v>4.9515401428836689E-2</v>
      </c>
    </row>
    <row r="13" spans="1:28" ht="20.100000000000001" customHeight="1" x14ac:dyDescent="0.25">
      <c r="A13" s="263" t="s">
        <v>53</v>
      </c>
      <c r="B13" s="361">
        <v>0.32443431171592929</v>
      </c>
      <c r="C13" s="361">
        <v>9.0732753717414738E-2</v>
      </c>
      <c r="Q13" s="362" t="s">
        <v>74</v>
      </c>
      <c r="R13" s="359">
        <v>8.9390829302173174</v>
      </c>
      <c r="S13" s="363" t="e">
        <f>Tableau1554118[[#This Row],[Moyenne 
(%)]]*#REF!/100</f>
        <v>#REF!</v>
      </c>
      <c r="T13" s="364" t="e">
        <f>Tableau1554118[[#This Row],[Ratio CS (kg/hab/an)]]*#REF!/1000</f>
        <v>#REF!</v>
      </c>
      <c r="V13" s="610" t="s">
        <v>278</v>
      </c>
      <c r="W13" s="610"/>
      <c r="X13" s="610"/>
      <c r="Y13" s="610"/>
      <c r="Z13" s="610"/>
      <c r="AA13" s="293" t="e">
        <f>S17+S24+S25+S28+S30</f>
        <v>#REF!</v>
      </c>
    </row>
    <row r="14" spans="1:28" ht="20.100000000000001" customHeight="1" x14ac:dyDescent="0.25">
      <c r="A14" s="263" t="s">
        <v>56</v>
      </c>
      <c r="B14" s="361">
        <v>0.47936277877676281</v>
      </c>
      <c r="C14" s="361">
        <v>0.1052148598700553</v>
      </c>
      <c r="Q14" s="362" t="s">
        <v>75</v>
      </c>
      <c r="R14" s="359">
        <v>16.188774472271209</v>
      </c>
      <c r="S14" s="363" t="e">
        <f>Tableau1554118[[#This Row],[Moyenne 
(%)]]*#REF!/100</f>
        <v>#REF!</v>
      </c>
      <c r="T14" s="364" t="e">
        <f>Tableau1554118[[#This Row],[Ratio CS (kg/hab/an)]]*#REF!/1000</f>
        <v>#REF!</v>
      </c>
    </row>
    <row r="15" spans="1:28" ht="20.100000000000001" customHeight="1" x14ac:dyDescent="0.25">
      <c r="A15" s="269" t="s">
        <v>152</v>
      </c>
      <c r="B15" s="382">
        <v>0.69992343551319525</v>
      </c>
      <c r="C15" s="382">
        <v>0.16379588385874311</v>
      </c>
      <c r="Q15" s="362" t="s">
        <v>76</v>
      </c>
      <c r="R15" s="359">
        <v>0.71709624508332315</v>
      </c>
      <c r="S15" s="363" t="e">
        <f>Tableau1554118[[#This Row],[Moyenne 
(%)]]*#REF!/100</f>
        <v>#REF!</v>
      </c>
      <c r="T15" s="364" t="e">
        <f>Tableau1554118[[#This Row],[Ratio CS (kg/hab/an)]]*#REF!/1000</f>
        <v>#REF!</v>
      </c>
    </row>
    <row r="16" spans="1:28" x14ac:dyDescent="0.25">
      <c r="Q16" s="362" t="s">
        <v>77</v>
      </c>
      <c r="R16" s="359">
        <v>1.5139160992221306</v>
      </c>
      <c r="S16" s="363" t="e">
        <f>Tableau1554118[[#This Row],[Moyenne 
(%)]]*#REF!/100</f>
        <v>#REF!</v>
      </c>
      <c r="T16" s="364" t="e">
        <f>Tableau1554118[[#This Row],[Ratio CS (kg/hab/an)]]*#REF!/1000</f>
        <v>#REF!</v>
      </c>
    </row>
    <row r="17" spans="17:20" x14ac:dyDescent="0.25">
      <c r="Q17" s="375" t="s">
        <v>78</v>
      </c>
      <c r="R17" s="359">
        <v>0.49477492821431163</v>
      </c>
      <c r="S17" s="376" t="e">
        <f>Tableau1554118[[#This Row],[Moyenne 
(%)]]*#REF!/100</f>
        <v>#REF!</v>
      </c>
      <c r="T17" s="377" t="e">
        <f>Tableau1554118[[#This Row],[Ratio CS (kg/hab/an)]]*#REF!/1000</f>
        <v>#REF!</v>
      </c>
    </row>
    <row r="18" spans="17:20" x14ac:dyDescent="0.25">
      <c r="Q18" s="263" t="s">
        <v>79</v>
      </c>
      <c r="R18" s="359">
        <v>0.29638896005001841</v>
      </c>
      <c r="S18" s="349" t="e">
        <f>Tableau1554118[[#This Row],[Moyenne 
(%)]]*#REF!/100</f>
        <v>#REF!</v>
      </c>
      <c r="T18" s="360" t="e">
        <f>Tableau1554118[[#This Row],[Ratio CS (kg/hab/an)]]*#REF!/1000</f>
        <v>#REF!</v>
      </c>
    </row>
    <row r="19" spans="17:20" x14ac:dyDescent="0.25">
      <c r="Q19" s="263" t="s">
        <v>26</v>
      </c>
      <c r="R19" s="359">
        <v>0.48945697309471831</v>
      </c>
      <c r="S19" s="349" t="e">
        <f>Tableau1554118[[#This Row],[Moyenne 
(%)]]*#REF!/100</f>
        <v>#REF!</v>
      </c>
      <c r="T19" s="360" t="e">
        <f>Tableau1554118[[#This Row],[Ratio CS (kg/hab/an)]]*#REF!/1000</f>
        <v>#REF!</v>
      </c>
    </row>
    <row r="20" spans="17:20" x14ac:dyDescent="0.25">
      <c r="Q20" s="263" t="s">
        <v>80</v>
      </c>
      <c r="R20" s="359">
        <v>0.11781009540511525</v>
      </c>
      <c r="S20" s="349" t="e">
        <f>Tableau1554118[[#This Row],[Moyenne 
(%)]]*#REF!/100</f>
        <v>#REF!</v>
      </c>
      <c r="T20" s="360" t="e">
        <f>Tableau1554118[[#This Row],[Ratio CS (kg/hab/an)]]*#REF!/1000</f>
        <v>#REF!</v>
      </c>
    </row>
    <row r="21" spans="17:20" x14ac:dyDescent="0.25">
      <c r="Q21" s="263" t="s">
        <v>251</v>
      </c>
      <c r="R21" s="359">
        <v>8.4464645424296714E-2</v>
      </c>
      <c r="S21" s="349" t="e">
        <f>Tableau1554118[[#This Row],[Moyenne 
(%)]]*#REF!/100</f>
        <v>#REF!</v>
      </c>
      <c r="T21" s="360" t="e">
        <f>Tableau1554118[[#This Row],[Ratio CS (kg/hab/an)]]*#REF!/1000</f>
        <v>#REF!</v>
      </c>
    </row>
    <row r="22" spans="17:20" x14ac:dyDescent="0.25">
      <c r="Q22" s="263" t="s">
        <v>82</v>
      </c>
      <c r="R22" s="359">
        <v>0.54325529688485563</v>
      </c>
      <c r="S22" s="349" t="e">
        <f>Tableau1554118[[#This Row],[Moyenne 
(%)]]*#REF!/100</f>
        <v>#REF!</v>
      </c>
      <c r="T22" s="360" t="e">
        <f>Tableau1554118[[#This Row],[Ratio CS (kg/hab/an)]]*#REF!/1000</f>
        <v>#REF!</v>
      </c>
    </row>
    <row r="23" spans="17:20" x14ac:dyDescent="0.25">
      <c r="Q23" s="263" t="s">
        <v>83</v>
      </c>
      <c r="R23" s="359">
        <v>0.3082705606897394</v>
      </c>
      <c r="S23" s="349" t="e">
        <f>Tableau1554118[[#This Row],[Moyenne 
(%)]]*#REF!/100</f>
        <v>#REF!</v>
      </c>
      <c r="T23" s="360" t="e">
        <f>Tableau1554118[[#This Row],[Ratio CS (kg/hab/an)]]*#REF!/1000</f>
        <v>#REF!</v>
      </c>
    </row>
    <row r="24" spans="17:20" x14ac:dyDescent="0.25">
      <c r="Q24" s="375" t="s">
        <v>84</v>
      </c>
      <c r="R24" s="359">
        <v>0.26318107368514526</v>
      </c>
      <c r="S24" s="376" t="e">
        <f>Tableau1554118[[#This Row],[Moyenne 
(%)]]*#REF!/100</f>
        <v>#REF!</v>
      </c>
      <c r="T24" s="377" t="e">
        <f>Tableau1554118[[#This Row],[Ratio CS (kg/hab/an)]]*#REF!/1000</f>
        <v>#REF!</v>
      </c>
    </row>
    <row r="25" spans="17:20" x14ac:dyDescent="0.25">
      <c r="Q25" s="375" t="s">
        <v>85</v>
      </c>
      <c r="R25" s="359">
        <v>1.6585268721048427</v>
      </c>
      <c r="S25" s="376" t="e">
        <f>Tableau1554118[[#This Row],[Moyenne 
(%)]]*#REF!/100</f>
        <v>#REF!</v>
      </c>
      <c r="T25" s="377" t="e">
        <f>Tableau1554118[[#This Row],[Ratio CS (kg/hab/an)]]*#REF!/1000</f>
        <v>#REF!</v>
      </c>
    </row>
    <row r="26" spans="17:20" x14ac:dyDescent="0.25">
      <c r="Q26" s="362" t="s">
        <v>86</v>
      </c>
      <c r="R26" s="359">
        <v>6.922185104754476</v>
      </c>
      <c r="S26" s="363" t="e">
        <f>Tableau1554118[[#This Row],[Moyenne 
(%)]]*#REF!/100</f>
        <v>#REF!</v>
      </c>
      <c r="T26" s="364" t="e">
        <f>Tableau1554118[[#This Row],[Ratio CS (kg/hab/an)]]*#REF!/1000</f>
        <v>#REF!</v>
      </c>
    </row>
    <row r="27" spans="17:20" x14ac:dyDescent="0.25">
      <c r="Q27" s="362" t="s">
        <v>87</v>
      </c>
      <c r="R27" s="359">
        <v>2.6060151891700478</v>
      </c>
      <c r="S27" s="363" t="e">
        <f>Tableau1554118[[#This Row],[Moyenne 
(%)]]*#REF!/100</f>
        <v>#REF!</v>
      </c>
      <c r="T27" s="364" t="e">
        <f>Tableau1554118[[#This Row],[Ratio CS (kg/hab/an)]]*#REF!/1000</f>
        <v>#REF!</v>
      </c>
    </row>
    <row r="28" spans="17:20" x14ac:dyDescent="0.25">
      <c r="Q28" s="375" t="s">
        <v>88</v>
      </c>
      <c r="R28" s="359">
        <v>2.3452385572375061</v>
      </c>
      <c r="S28" s="376" t="e">
        <f>Tableau1554118[[#This Row],[Moyenne 
(%)]]*#REF!/100</f>
        <v>#REF!</v>
      </c>
      <c r="T28" s="377" t="e">
        <f>Tableau1554118[[#This Row],[Ratio CS (kg/hab/an)]]*#REF!/1000</f>
        <v>#REF!</v>
      </c>
    </row>
    <row r="29" spans="17:20" x14ac:dyDescent="0.25">
      <c r="Q29" s="263" t="s">
        <v>89</v>
      </c>
      <c r="R29" s="359">
        <v>1.3216565720864222</v>
      </c>
      <c r="S29" s="349" t="e">
        <f>Tableau1554118[[#This Row],[Moyenne 
(%)]]*#REF!/100</f>
        <v>#REF!</v>
      </c>
      <c r="T29" s="360" t="e">
        <f>Tableau1554118[[#This Row],[Ratio CS (kg/hab/an)]]*#REF!/1000</f>
        <v>#REF!</v>
      </c>
    </row>
    <row r="30" spans="17:20" x14ac:dyDescent="0.25">
      <c r="Q30" s="375" t="s">
        <v>90</v>
      </c>
      <c r="R30" s="359">
        <v>0.18981871164186376</v>
      </c>
      <c r="S30" s="376" t="e">
        <f>Tableau1554118[[#This Row],[Moyenne 
(%)]]*#REF!/100</f>
        <v>#REF!</v>
      </c>
      <c r="T30" s="377" t="e">
        <f>Tableau1554118[[#This Row],[Ratio CS (kg/hab/an)]]*#REF!/1000</f>
        <v>#REF!</v>
      </c>
    </row>
    <row r="31" spans="17:20" x14ac:dyDescent="0.25">
      <c r="Q31" s="263" t="s">
        <v>91</v>
      </c>
      <c r="R31" s="359">
        <v>0.14453252699100294</v>
      </c>
      <c r="S31" s="349" t="e">
        <f>Tableau1554118[[#This Row],[Moyenne 
(%)]]*#REF!/100</f>
        <v>#REF!</v>
      </c>
      <c r="T31" s="360" t="e">
        <f>Tableau1554118[[#This Row],[Ratio CS (kg/hab/an)]]*#REF!/1000</f>
        <v>#REF!</v>
      </c>
    </row>
    <row r="32" spans="17:20" x14ac:dyDescent="0.25">
      <c r="Q32" s="263" t="s">
        <v>92</v>
      </c>
      <c r="R32" s="359">
        <v>0.10829926073799795</v>
      </c>
      <c r="S32" s="349" t="e">
        <f>Tableau1554118[[#This Row],[Moyenne 
(%)]]*#REF!/100</f>
        <v>#REF!</v>
      </c>
      <c r="T32" s="360" t="e">
        <f>Tableau1554118[[#This Row],[Ratio CS (kg/hab/an)]]*#REF!/1000</f>
        <v>#REF!</v>
      </c>
    </row>
    <row r="33" spans="17:20" x14ac:dyDescent="0.25">
      <c r="Q33" s="263" t="s">
        <v>93</v>
      </c>
      <c r="R33" s="359">
        <v>0.82141256769916804</v>
      </c>
      <c r="S33" s="349" t="e">
        <f>Tableau1554118[[#This Row],[Moyenne 
(%)]]*#REF!/100</f>
        <v>#REF!</v>
      </c>
      <c r="T33" s="360" t="e">
        <f>Tableau1554118[[#This Row],[Ratio CS (kg/hab/an)]]*#REF!/1000</f>
        <v>#REF!</v>
      </c>
    </row>
  </sheetData>
  <mergeCells count="5">
    <mergeCell ref="W8:X8"/>
    <mergeCell ref="Y8:Z8"/>
    <mergeCell ref="AA8:AB8"/>
    <mergeCell ref="V12:Z12"/>
    <mergeCell ref="V13:Z13"/>
  </mergeCells>
  <pageMargins left="0.7" right="0.7" top="0.75" bottom="0.75" header="0.3" footer="0.3"/>
  <pageSetup paperSize="9" orientation="portrait"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J6" sqref="J6"/>
    </sheetView>
  </sheetViews>
  <sheetFormatPr baseColWidth="10" defaultRowHeight="12.75" x14ac:dyDescent="0.2"/>
  <cols>
    <col min="1" max="1" width="34.140625" customWidth="1"/>
    <col min="2" max="7" width="12.7109375" customWidth="1"/>
  </cols>
  <sheetData>
    <row r="1" spans="1:7" ht="45" x14ac:dyDescent="0.2">
      <c r="A1" s="71" t="s">
        <v>149</v>
      </c>
      <c r="B1" s="72" t="s">
        <v>153</v>
      </c>
      <c r="C1" s="92" t="s">
        <v>156</v>
      </c>
      <c r="D1" s="72" t="s">
        <v>150</v>
      </c>
      <c r="E1" s="92" t="s">
        <v>155</v>
      </c>
      <c r="F1" s="72" t="s">
        <v>314</v>
      </c>
      <c r="G1" s="93" t="s">
        <v>315</v>
      </c>
    </row>
    <row r="2" spans="1:7" ht="15" x14ac:dyDescent="0.2">
      <c r="A2" s="74" t="s">
        <v>6</v>
      </c>
      <c r="B2" s="77">
        <v>1.334037369038654</v>
      </c>
      <c r="C2" s="90">
        <v>0.31243460475980772</v>
      </c>
      <c r="D2" s="77">
        <v>0.66081546115135481</v>
      </c>
      <c r="E2" s="90">
        <v>0.15476449327111116</v>
      </c>
      <c r="F2" s="78">
        <v>42.714538481818714</v>
      </c>
      <c r="G2" s="88">
        <v>10.00384266422895</v>
      </c>
    </row>
    <row r="3" spans="1:7" ht="15" x14ac:dyDescent="0.2">
      <c r="A3" s="76" t="s">
        <v>12</v>
      </c>
      <c r="B3" s="77">
        <v>46.052132297641101</v>
      </c>
      <c r="C3" s="90">
        <v>2.4064078870413081</v>
      </c>
      <c r="D3" s="77">
        <v>22.811925473421375</v>
      </c>
      <c r="E3" s="90">
        <v>1.1920142377566212</v>
      </c>
      <c r="F3" s="78">
        <v>1474.5430846625709</v>
      </c>
      <c r="G3" s="88">
        <v>77.050766852243768</v>
      </c>
    </row>
    <row r="4" spans="1:7" x14ac:dyDescent="0.2">
      <c r="A4" s="80" t="s">
        <v>13</v>
      </c>
      <c r="B4" s="81">
        <v>1.0517117583797939</v>
      </c>
      <c r="C4" s="81">
        <v>0.16016277439004631</v>
      </c>
      <c r="D4" s="81">
        <v>0.52096545924562354</v>
      </c>
      <c r="E4" s="81">
        <v>7.9336636344834038E-2</v>
      </c>
      <c r="F4" s="82">
        <v>33.674755608583908</v>
      </c>
      <c r="G4" s="83">
        <v>5.1282513884663565</v>
      </c>
    </row>
    <row r="5" spans="1:7" x14ac:dyDescent="0.2">
      <c r="A5" s="80" t="s">
        <v>14</v>
      </c>
      <c r="B5" s="81">
        <v>14.477538593402331</v>
      </c>
      <c r="C5" s="81">
        <v>1.7522352925814111</v>
      </c>
      <c r="D5" s="81">
        <v>7.1714492891829122</v>
      </c>
      <c r="E5" s="81">
        <v>0.86796981837718956</v>
      </c>
      <c r="F5" s="82">
        <v>463.55626440624928</v>
      </c>
      <c r="G5" s="83">
        <v>56.104816530068945</v>
      </c>
    </row>
    <row r="6" spans="1:7" x14ac:dyDescent="0.2">
      <c r="A6" s="80" t="s">
        <v>15</v>
      </c>
      <c r="B6" s="81">
        <v>21.951379914158942</v>
      </c>
      <c r="C6" s="81">
        <v>2.176796158442817</v>
      </c>
      <c r="D6" s="81">
        <v>10.873616869770924</v>
      </c>
      <c r="E6" s="81">
        <v>1.0782760593209499</v>
      </c>
      <c r="F6" s="82">
        <v>702.86116703616574</v>
      </c>
      <c r="G6" s="83">
        <v>69.698829609162701</v>
      </c>
    </row>
    <row r="7" spans="1:7" x14ac:dyDescent="0.2">
      <c r="A7" s="80" t="s">
        <v>16</v>
      </c>
      <c r="B7" s="81">
        <v>5.3876776388448739</v>
      </c>
      <c r="C7" s="81">
        <v>0.65923084924875475</v>
      </c>
      <c r="D7" s="81">
        <v>2.6687863219406998</v>
      </c>
      <c r="E7" s="81">
        <v>0.32655002608018591</v>
      </c>
      <c r="F7" s="82">
        <v>172.50803401250556</v>
      </c>
      <c r="G7" s="83">
        <v>21.107910566950586</v>
      </c>
    </row>
    <row r="8" spans="1:7" x14ac:dyDescent="0.2">
      <c r="A8" s="80" t="s">
        <v>17</v>
      </c>
      <c r="B8" s="81">
        <v>3.1838243928551662</v>
      </c>
      <c r="C8" s="81">
        <v>0.55940678723486448</v>
      </c>
      <c r="D8" s="81">
        <v>1.5771075332812188</v>
      </c>
      <c r="E8" s="81">
        <v>0.2771021731903926</v>
      </c>
      <c r="F8" s="82">
        <v>101.94286359906654</v>
      </c>
      <c r="G8" s="83">
        <v>17.911644227442803</v>
      </c>
    </row>
    <row r="9" spans="1:7" ht="15" x14ac:dyDescent="0.2">
      <c r="A9" s="76" t="s">
        <v>18</v>
      </c>
      <c r="B9" s="77">
        <v>25.258173293393721</v>
      </c>
      <c r="C9" s="90">
        <v>2.1676236460895888</v>
      </c>
      <c r="D9" s="77">
        <v>12.511637095100879</v>
      </c>
      <c r="E9" s="90">
        <v>1.0737324549802536</v>
      </c>
      <c r="F9" s="78">
        <v>808.74137423795855</v>
      </c>
      <c r="G9" s="88">
        <v>69.405134963885047</v>
      </c>
    </row>
    <row r="10" spans="1:7" x14ac:dyDescent="0.2">
      <c r="A10" s="80" t="s">
        <v>19</v>
      </c>
      <c r="B10" s="81">
        <v>8.8186654199411745</v>
      </c>
      <c r="C10" s="81">
        <v>0.52963224283330279</v>
      </c>
      <c r="D10" s="81">
        <v>4.3683262489246504</v>
      </c>
      <c r="E10" s="81">
        <v>0.26235335149623856</v>
      </c>
      <c r="F10" s="82">
        <v>282.36482139163127</v>
      </c>
      <c r="G10" s="83">
        <v>16.958293180361096</v>
      </c>
    </row>
    <row r="11" spans="1:7" x14ac:dyDescent="0.2">
      <c r="A11" s="80" t="s">
        <v>20</v>
      </c>
      <c r="B11" s="81">
        <v>15.76682260238411</v>
      </c>
      <c r="C11" s="81">
        <v>2.2386385254503751</v>
      </c>
      <c r="D11" s="81">
        <v>7.8100961717393744</v>
      </c>
      <c r="E11" s="81">
        <v>1.1089096781544614</v>
      </c>
      <c r="F11" s="82">
        <v>504.83784518785177</v>
      </c>
      <c r="G11" s="83">
        <v>71.678960171213362</v>
      </c>
    </row>
    <row r="12" spans="1:7" x14ac:dyDescent="0.2">
      <c r="A12" s="80" t="s">
        <v>21</v>
      </c>
      <c r="B12" s="81">
        <v>0.67268527106843901</v>
      </c>
      <c r="C12" s="81">
        <v>0.25003859788439509</v>
      </c>
      <c r="D12" s="81">
        <v>0.33321467443685571</v>
      </c>
      <c r="E12" s="81">
        <v>0.12385662890814204</v>
      </c>
      <c r="F12" s="82">
        <v>21.538707658475595</v>
      </c>
      <c r="G12" s="83">
        <v>8.0059851089250298</v>
      </c>
    </row>
    <row r="13" spans="1:7" ht="15" x14ac:dyDescent="0.2">
      <c r="A13" s="76" t="s">
        <v>22</v>
      </c>
      <c r="B13" s="77">
        <v>2.2660533685641888</v>
      </c>
      <c r="C13" s="90">
        <v>0.19621269559523191</v>
      </c>
      <c r="D13" s="77">
        <v>1.1224896217265834</v>
      </c>
      <c r="E13" s="90">
        <v>9.7193966175738097E-2</v>
      </c>
      <c r="F13" s="78">
        <v>72.556755949904243</v>
      </c>
      <c r="G13" s="88">
        <v>6.28253370643103</v>
      </c>
    </row>
    <row r="14" spans="1:7" x14ac:dyDescent="0.2">
      <c r="A14" s="80" t="s">
        <v>23</v>
      </c>
      <c r="B14" s="81">
        <v>1.505321950201852</v>
      </c>
      <c r="C14" s="81">
        <v>0.14497146146230641</v>
      </c>
      <c r="D14" s="81">
        <v>0.74566128490143568</v>
      </c>
      <c r="E14" s="81">
        <v>7.181161891217161E-2</v>
      </c>
      <c r="F14" s="82">
        <v>48.198898967694753</v>
      </c>
      <c r="G14" s="83">
        <v>4.6418407858091726</v>
      </c>
    </row>
    <row r="15" spans="1:7" x14ac:dyDescent="0.2">
      <c r="A15" s="80" t="s">
        <v>24</v>
      </c>
      <c r="B15" s="81">
        <v>0.47471677812501989</v>
      </c>
      <c r="C15" s="81">
        <v>8.5096235135539947E-2</v>
      </c>
      <c r="D15" s="81">
        <v>0.23515097397836152</v>
      </c>
      <c r="E15" s="81">
        <v>4.2152423289205918E-2</v>
      </c>
      <c r="F15" s="82">
        <v>15.199955082066836</v>
      </c>
      <c r="G15" s="83">
        <v>2.7246960952632762</v>
      </c>
    </row>
    <row r="16" spans="1:7" x14ac:dyDescent="0.2">
      <c r="A16" s="94" t="s">
        <v>26</v>
      </c>
      <c r="B16" s="457">
        <v>0.48298341789964261</v>
      </c>
      <c r="C16" s="458">
        <v>0.13170190443539359</v>
      </c>
      <c r="D16" s="457">
        <v>0.23924585430302289</v>
      </c>
      <c r="E16" s="458">
        <v>6.5238543337585123E-2</v>
      </c>
      <c r="F16" s="459">
        <v>15.464644595991706</v>
      </c>
      <c r="G16" s="460">
        <v>4.2169628795244254</v>
      </c>
    </row>
    <row r="17" spans="1:7" x14ac:dyDescent="0.2">
      <c r="A17" s="94" t="s">
        <v>27</v>
      </c>
      <c r="B17" s="457">
        <v>0.7229978911197904</v>
      </c>
      <c r="C17" s="458">
        <v>0.1162962832806031</v>
      </c>
      <c r="D17" s="457">
        <v>0.35813703268003272</v>
      </c>
      <c r="E17" s="458">
        <v>5.7607368316556933E-2</v>
      </c>
      <c r="F17" s="459">
        <v>23.14966728762996</v>
      </c>
      <c r="G17" s="460">
        <v>3.7236903423939061</v>
      </c>
    </row>
    <row r="18" spans="1:7" ht="15" x14ac:dyDescent="0.2">
      <c r="A18" s="76" t="s">
        <v>31</v>
      </c>
      <c r="B18" s="77">
        <v>15.177915742578399</v>
      </c>
      <c r="C18" s="90">
        <v>1.0713365442985141</v>
      </c>
      <c r="D18" s="77">
        <v>7.5183811364865418</v>
      </c>
      <c r="E18" s="90">
        <v>0.53068659769185833</v>
      </c>
      <c r="F18" s="78">
        <v>485.98163822604431</v>
      </c>
      <c r="G18" s="88">
        <v>34.303121569521494</v>
      </c>
    </row>
    <row r="19" spans="1:7" x14ac:dyDescent="0.2">
      <c r="A19" s="80" t="s">
        <v>33</v>
      </c>
      <c r="B19" s="81">
        <v>0.27169401975136009</v>
      </c>
      <c r="C19" s="81">
        <v>5.2272732228692408E-2</v>
      </c>
      <c r="D19" s="81">
        <v>0.13458364294805458</v>
      </c>
      <c r="E19" s="81">
        <v>2.589329988427317E-2</v>
      </c>
      <c r="F19" s="82">
        <v>8.6993699961438029</v>
      </c>
      <c r="G19" s="83">
        <v>1.6737204550284162</v>
      </c>
    </row>
    <row r="20" spans="1:7" x14ac:dyDescent="0.2">
      <c r="A20" s="80" t="s">
        <v>34</v>
      </c>
      <c r="B20" s="81">
        <v>1.6303663450026979</v>
      </c>
      <c r="C20" s="81">
        <v>0.26472051699344429</v>
      </c>
      <c r="D20" s="81">
        <v>0.80760203059003632</v>
      </c>
      <c r="E20" s="81">
        <v>0.13112931809347184</v>
      </c>
      <c r="F20" s="82">
        <v>52.202695066379377</v>
      </c>
      <c r="G20" s="83">
        <v>8.4760854324432238</v>
      </c>
    </row>
    <row r="21" spans="1:7" x14ac:dyDescent="0.2">
      <c r="A21" s="80" t="s">
        <v>35</v>
      </c>
      <c r="B21" s="81">
        <v>6.8448710987650312</v>
      </c>
      <c r="C21" s="81">
        <v>0.6621044929243356</v>
      </c>
      <c r="D21" s="81">
        <v>3.3906071573628718</v>
      </c>
      <c r="E21" s="81">
        <v>0.32797348558344719</v>
      </c>
      <c r="F21" s="82">
        <v>219.16590699553038</v>
      </c>
      <c r="G21" s="83">
        <v>21.199921755102004</v>
      </c>
    </row>
    <row r="22" spans="1:7" x14ac:dyDescent="0.2">
      <c r="A22" s="80" t="s">
        <v>36</v>
      </c>
      <c r="B22" s="81">
        <v>2.5219863967937179</v>
      </c>
      <c r="C22" s="81">
        <v>0.25374197223903772</v>
      </c>
      <c r="D22" s="81">
        <v>1.2492660569288709</v>
      </c>
      <c r="E22" s="81">
        <v>0.12569109553462254</v>
      </c>
      <c r="F22" s="82">
        <v>80.75147480621078</v>
      </c>
      <c r="G22" s="83">
        <v>8.1245634411781644</v>
      </c>
    </row>
    <row r="23" spans="1:7" x14ac:dyDescent="0.2">
      <c r="A23" s="80" t="s">
        <v>37</v>
      </c>
      <c r="B23" s="81">
        <v>2.324374645585332</v>
      </c>
      <c r="C23" s="81">
        <v>0.2487819312770711</v>
      </c>
      <c r="D23" s="81">
        <v>1.1513790685023026</v>
      </c>
      <c r="E23" s="81">
        <v>0.12323413905672899</v>
      </c>
      <c r="F23" s="82">
        <v>74.424144742336367</v>
      </c>
      <c r="G23" s="83">
        <v>7.9657479046283912</v>
      </c>
    </row>
    <row r="24" spans="1:7" ht="15" x14ac:dyDescent="0.2">
      <c r="A24" s="76" t="s">
        <v>39</v>
      </c>
      <c r="B24" s="77">
        <v>1.227335094355581</v>
      </c>
      <c r="C24" s="90">
        <v>0.26798126759846902</v>
      </c>
      <c r="D24" s="77">
        <v>0.60796048535603253</v>
      </c>
      <c r="E24" s="90">
        <v>0.13274453102885742</v>
      </c>
      <c r="F24" s="78">
        <v>39.298038671673098</v>
      </c>
      <c r="G24" s="88">
        <v>8.5804913961969316</v>
      </c>
    </row>
    <row r="25" spans="1:7" x14ac:dyDescent="0.2">
      <c r="A25" s="80" t="s">
        <v>40</v>
      </c>
      <c r="B25" s="81">
        <v>0.18801619884193649</v>
      </c>
      <c r="C25" s="81">
        <v>6.3955994801804125E-2</v>
      </c>
      <c r="D25" s="81">
        <v>9.3133831199341072E-2</v>
      </c>
      <c r="E25" s="81">
        <v>3.1680604441241302E-2</v>
      </c>
      <c r="F25" s="82">
        <v>6.0200901016937518</v>
      </c>
      <c r="G25" s="83">
        <v>2.0478068039977853</v>
      </c>
    </row>
    <row r="26" spans="1:7" x14ac:dyDescent="0.2">
      <c r="A26" s="94" t="s">
        <v>44</v>
      </c>
      <c r="B26" s="457">
        <v>1.1923051475563371</v>
      </c>
      <c r="C26" s="458">
        <v>0.23804519616488701</v>
      </c>
      <c r="D26" s="457">
        <v>0.59060839988564484</v>
      </c>
      <c r="E26" s="458">
        <v>0.11791569691328983</v>
      </c>
      <c r="F26" s="459">
        <v>38.176414911125349</v>
      </c>
      <c r="G26" s="460">
        <v>7.6219684155658252</v>
      </c>
    </row>
    <row r="27" spans="1:7" ht="15" x14ac:dyDescent="0.2">
      <c r="A27" s="76" t="s">
        <v>48</v>
      </c>
      <c r="B27" s="77">
        <v>4.7823458518466904</v>
      </c>
      <c r="C27" s="90">
        <v>0.47473518763291678</v>
      </c>
      <c r="D27" s="77">
        <v>2.3689351983825651</v>
      </c>
      <c r="E27" s="90">
        <v>0.23516009312879371</v>
      </c>
      <c r="F27" s="78">
        <v>153.12591735663187</v>
      </c>
      <c r="G27" s="88">
        <v>15.200544536044468</v>
      </c>
    </row>
    <row r="28" spans="1:7" x14ac:dyDescent="0.2">
      <c r="A28" s="80" t="s">
        <v>49</v>
      </c>
      <c r="B28" s="81">
        <v>3.816047318938951</v>
      </c>
      <c r="C28" s="81">
        <v>0.42976456695944409</v>
      </c>
      <c r="D28" s="81">
        <v>1.8902791836013157</v>
      </c>
      <c r="E28" s="81">
        <v>0.21288389447926218</v>
      </c>
      <c r="F28" s="82">
        <v>122.18600755593675</v>
      </c>
      <c r="G28" s="83">
        <v>13.76063036880298</v>
      </c>
    </row>
    <row r="29" spans="1:7" x14ac:dyDescent="0.2">
      <c r="A29" s="80" t="s">
        <v>50</v>
      </c>
      <c r="B29" s="81">
        <v>0.52649914897311711</v>
      </c>
      <c r="C29" s="81">
        <v>7.0940703683892839E-2</v>
      </c>
      <c r="D29" s="81">
        <v>0.2608013733342317</v>
      </c>
      <c r="E29" s="81">
        <v>3.5140480249856436E-2</v>
      </c>
      <c r="F29" s="82">
        <v>16.85797465753404</v>
      </c>
      <c r="G29" s="83">
        <v>2.2714501765543411</v>
      </c>
    </row>
    <row r="30" spans="1:7" x14ac:dyDescent="0.2">
      <c r="A30" s="94" t="s">
        <v>53</v>
      </c>
      <c r="B30" s="457">
        <v>0.32443431171592929</v>
      </c>
      <c r="C30" s="458">
        <v>9.0732753717414738E-2</v>
      </c>
      <c r="D30" s="457">
        <v>0.16070854856515804</v>
      </c>
      <c r="E30" s="458">
        <v>4.4944472981677343E-2</v>
      </c>
      <c r="F30" s="459">
        <v>10.3880612449402</v>
      </c>
      <c r="G30" s="460">
        <v>2.9051717666775456</v>
      </c>
    </row>
    <row r="31" spans="1:7" x14ac:dyDescent="0.2">
      <c r="A31" s="94" t="s">
        <v>56</v>
      </c>
      <c r="B31" s="457">
        <v>0.47936277877676281</v>
      </c>
      <c r="C31" s="458">
        <v>0.1052148598700553</v>
      </c>
      <c r="D31" s="457">
        <v>0.23745237057672172</v>
      </c>
      <c r="E31" s="458">
        <v>5.2118184811501468E-2</v>
      </c>
      <c r="F31" s="459">
        <v>15.348715362873989</v>
      </c>
      <c r="G31" s="460">
        <v>3.3688742797492206</v>
      </c>
    </row>
    <row r="32" spans="1:7" x14ac:dyDescent="0.2">
      <c r="A32" s="94" t="s">
        <v>152</v>
      </c>
      <c r="B32" s="457">
        <v>0.69992343551319525</v>
      </c>
      <c r="C32" s="458">
        <v>0.16379588385874311</v>
      </c>
      <c r="D32" s="457">
        <v>0.34670710022358525</v>
      </c>
      <c r="E32" s="458">
        <v>8.1136297257406759E-2</v>
      </c>
      <c r="F32" s="459">
        <v>22.41084636339664</v>
      </c>
      <c r="G32" s="460">
        <v>5.2445799095490466</v>
      </c>
    </row>
    <row r="33" spans="1:7" ht="15.75" thickBot="1" x14ac:dyDescent="0.25">
      <c r="A33" s="84" t="s">
        <v>62</v>
      </c>
      <c r="B33" s="85">
        <v>100</v>
      </c>
      <c r="C33" s="91"/>
      <c r="D33" s="86">
        <v>49.535003777859494</v>
      </c>
      <c r="E33" s="91"/>
      <c r="F33" s="87">
        <f>F2+F3+F9+F13+F16+F17+F18+F24+F26+F27+F30+F31+F32</f>
        <v>3201.8996973525591</v>
      </c>
      <c r="G33" s="89">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G5" sqref="G5"/>
    </sheetView>
  </sheetViews>
  <sheetFormatPr baseColWidth="10" defaultRowHeight="12.75" x14ac:dyDescent="0.2"/>
  <cols>
    <col min="1" max="1" width="24.140625" customWidth="1"/>
    <col min="2" max="7" width="12.7109375" customWidth="1"/>
  </cols>
  <sheetData>
    <row r="1" spans="1:7" ht="50.25" customHeight="1" x14ac:dyDescent="0.2">
      <c r="A1" s="205"/>
      <c r="B1" s="611" t="s">
        <v>180</v>
      </c>
      <c r="C1" s="611"/>
      <c r="D1" s="611" t="s">
        <v>181</v>
      </c>
      <c r="E1" s="611"/>
      <c r="F1" s="611" t="s">
        <v>184</v>
      </c>
      <c r="G1" s="611"/>
    </row>
    <row r="2" spans="1:7" ht="48.75" customHeight="1" x14ac:dyDescent="0.2">
      <c r="A2" s="206"/>
      <c r="B2" s="207" t="s">
        <v>158</v>
      </c>
      <c r="C2" s="207" t="s">
        <v>3</v>
      </c>
      <c r="D2" s="207" t="s">
        <v>158</v>
      </c>
      <c r="E2" s="207" t="s">
        <v>3</v>
      </c>
      <c r="F2" s="207" t="s">
        <v>158</v>
      </c>
      <c r="G2" s="207" t="s">
        <v>3</v>
      </c>
    </row>
    <row r="3" spans="1:7" ht="25.5" customHeight="1" x14ac:dyDescent="0.2">
      <c r="A3" s="612" t="s">
        <v>182</v>
      </c>
      <c r="B3" s="614">
        <v>0.8637490684634237</v>
      </c>
      <c r="C3" s="615">
        <v>42.785813369458317</v>
      </c>
      <c r="D3" s="616"/>
      <c r="E3" s="616"/>
      <c r="F3" s="208">
        <v>0.134749684952926</v>
      </c>
      <c r="G3" s="209">
        <v>6.645214901863767</v>
      </c>
    </row>
    <row r="4" spans="1:7" ht="35.25" customHeight="1" x14ac:dyDescent="0.2">
      <c r="A4" s="613"/>
      <c r="B4" s="614"/>
      <c r="C4" s="615"/>
      <c r="D4" s="617"/>
      <c r="E4" s="617"/>
      <c r="F4" s="232" t="s">
        <v>301</v>
      </c>
      <c r="G4" s="232" t="s">
        <v>302</v>
      </c>
    </row>
    <row r="5" spans="1:7" ht="50.1" customHeight="1" x14ac:dyDescent="0.2">
      <c r="A5" s="210" t="s">
        <v>183</v>
      </c>
      <c r="B5" s="208">
        <v>0.81506320365639406</v>
      </c>
      <c r="C5" s="211">
        <v>40.076227690881232</v>
      </c>
      <c r="D5" s="208">
        <v>8.0409146885298932E-2</v>
      </c>
      <c r="E5" s="231">
        <v>3.9536753279359913</v>
      </c>
      <c r="F5" s="208">
        <v>0.104527649458307</v>
      </c>
      <c r="G5" s="211">
        <v>5.1395693743643918</v>
      </c>
    </row>
    <row r="12" spans="1:7" x14ac:dyDescent="0.2">
      <c r="B12" s="424">
        <v>0.8637490684634237</v>
      </c>
      <c r="C12">
        <v>42.785813369458317</v>
      </c>
    </row>
  </sheetData>
  <mergeCells count="8">
    <mergeCell ref="B1:C1"/>
    <mergeCell ref="D1:E1"/>
    <mergeCell ref="F1:G1"/>
    <mergeCell ref="A3:A4"/>
    <mergeCell ref="B3:B4"/>
    <mergeCell ref="C3:C4"/>
    <mergeCell ref="D3:D4"/>
    <mergeCell ref="E3:E4"/>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E2" sqref="E2"/>
    </sheetView>
  </sheetViews>
  <sheetFormatPr baseColWidth="10" defaultRowHeight="12.75" x14ac:dyDescent="0.2"/>
  <cols>
    <col min="1" max="1" width="28.85546875" customWidth="1"/>
    <col min="2" max="2" width="13" customWidth="1"/>
    <col min="6" max="6" width="12.5703125" bestFit="1" customWidth="1"/>
  </cols>
  <sheetData>
    <row r="1" spans="1:7" ht="45" x14ac:dyDescent="0.2">
      <c r="A1" s="95" t="s">
        <v>159</v>
      </c>
      <c r="B1" s="1" t="s">
        <v>158</v>
      </c>
      <c r="C1" s="97" t="s">
        <v>161</v>
      </c>
      <c r="D1" s="96" t="s">
        <v>160</v>
      </c>
      <c r="E1" s="97" t="s">
        <v>155</v>
      </c>
      <c r="F1" s="96" t="s">
        <v>316</v>
      </c>
      <c r="G1" s="98" t="s">
        <v>317</v>
      </c>
    </row>
    <row r="2" spans="1:7" ht="15" x14ac:dyDescent="0.25">
      <c r="A2" s="99" t="s">
        <v>6</v>
      </c>
      <c r="B2" s="103">
        <v>0.34318610143200384</v>
      </c>
      <c r="C2" s="100">
        <v>1.1813483247527786E-2</v>
      </c>
      <c r="D2" s="103">
        <v>0.10513955314476818</v>
      </c>
      <c r="E2" s="100">
        <v>3.6192151854213977E-3</v>
      </c>
      <c r="F2" s="101">
        <v>6.7926162612884573</v>
      </c>
      <c r="G2" s="102">
        <v>0.23382199359117992</v>
      </c>
    </row>
    <row r="3" spans="1:7" ht="15" x14ac:dyDescent="0.25">
      <c r="A3" s="99" t="s">
        <v>12</v>
      </c>
      <c r="B3" s="103">
        <v>0.1407846097889523</v>
      </c>
      <c r="C3" s="100">
        <v>6.5241467461283308E-3</v>
      </c>
      <c r="D3" s="103">
        <v>4.3131207531735542E-2</v>
      </c>
      <c r="E3" s="100">
        <v>1.99875773137839E-3</v>
      </c>
      <c r="F3" s="101">
        <v>2.7865226062514665</v>
      </c>
      <c r="G3" s="102">
        <v>0.12913117720638201</v>
      </c>
    </row>
    <row r="4" spans="1:7" ht="15" x14ac:dyDescent="0.25">
      <c r="A4" s="99" t="s">
        <v>18</v>
      </c>
      <c r="B4" s="103">
        <v>0.14366317691252192</v>
      </c>
      <c r="C4" s="100">
        <v>3.7505933667812386E-3</v>
      </c>
      <c r="D4" s="103">
        <v>4.4013094239287121E-2</v>
      </c>
      <c r="E4" s="100">
        <v>1.1490433585907955E-3</v>
      </c>
      <c r="F4" s="101">
        <v>2.8434975296856653</v>
      </c>
      <c r="G4" s="102">
        <v>7.4234770541039954E-2</v>
      </c>
    </row>
    <row r="5" spans="1:7" ht="15" x14ac:dyDescent="0.25">
      <c r="A5" s="99" t="s">
        <v>22</v>
      </c>
      <c r="B5" s="103">
        <v>1.037423961404251E-2</v>
      </c>
      <c r="C5" s="100">
        <v>3.0395959216642101E-4</v>
      </c>
      <c r="D5" s="103">
        <v>3.1782840642026783E-3</v>
      </c>
      <c r="E5" s="100">
        <v>9.3121998708841706E-5</v>
      </c>
      <c r="F5" s="101">
        <v>0.20533532216720626</v>
      </c>
      <c r="G5" s="102">
        <v>6.0162135351897938E-3</v>
      </c>
    </row>
    <row r="6" spans="1:7" ht="15" x14ac:dyDescent="0.25">
      <c r="A6" s="99" t="s">
        <v>26</v>
      </c>
      <c r="B6" s="103">
        <v>2.8289147376424116E-3</v>
      </c>
      <c r="C6" s="100">
        <v>1.5764402901063032E-4</v>
      </c>
      <c r="D6" s="103">
        <v>8.6667504936619019E-4</v>
      </c>
      <c r="E6" s="100">
        <v>4.8296311234511077E-5</v>
      </c>
      <c r="F6" s="101">
        <v>5.5992163343816737E-2</v>
      </c>
      <c r="G6" s="102">
        <v>3.1202178365745963E-3</v>
      </c>
    </row>
    <row r="7" spans="1:7" ht="15" x14ac:dyDescent="0.25">
      <c r="A7" s="99" t="s">
        <v>27</v>
      </c>
      <c r="B7" s="103">
        <v>4.3757322900467473E-3</v>
      </c>
      <c r="C7" s="100">
        <v>1.0964200739898619E-4</v>
      </c>
      <c r="D7" s="103">
        <v>1.3405628483698993E-3</v>
      </c>
      <c r="E7" s="100">
        <v>3.359026375404887E-5</v>
      </c>
      <c r="F7" s="101">
        <v>8.6608024580230647E-2</v>
      </c>
      <c r="G7" s="102">
        <v>2.1701230885255501E-3</v>
      </c>
    </row>
    <row r="8" spans="1:7" ht="15" x14ac:dyDescent="0.25">
      <c r="A8" s="99" t="s">
        <v>31</v>
      </c>
      <c r="B8" s="103">
        <v>0.24456039795173062</v>
      </c>
      <c r="C8" s="100">
        <v>3.3107245778959218E-3</v>
      </c>
      <c r="D8" s="103">
        <v>7.4924278256781926E-2</v>
      </c>
      <c r="E8" s="100">
        <v>1.0142837989444218E-3</v>
      </c>
      <c r="F8" s="101">
        <v>4.8405367497763887</v>
      </c>
      <c r="G8" s="102">
        <v>6.5528532509405518E-2</v>
      </c>
    </row>
    <row r="9" spans="1:7" ht="15" x14ac:dyDescent="0.25">
      <c r="A9" s="99" t="s">
        <v>39</v>
      </c>
      <c r="B9" s="103">
        <v>3.67051002057956E-2</v>
      </c>
      <c r="C9" s="100">
        <v>1.2134232084532826E-3</v>
      </c>
      <c r="D9" s="103">
        <v>1.1245087775024335E-2</v>
      </c>
      <c r="E9" s="100">
        <v>3.7174807889924546E-4</v>
      </c>
      <c r="F9" s="101">
        <v>0.72649696327958224</v>
      </c>
      <c r="G9" s="102">
        <v>2.401705134086745E-2</v>
      </c>
    </row>
    <row r="10" spans="1:7" ht="15" x14ac:dyDescent="0.25">
      <c r="A10" s="99" t="s">
        <v>44</v>
      </c>
      <c r="B10" s="461">
        <v>96.349165143089479</v>
      </c>
      <c r="C10" s="107">
        <v>4.0762949223241654E-2</v>
      </c>
      <c r="D10" s="461">
        <v>29.517827577358933</v>
      </c>
      <c r="E10" s="107">
        <v>1.2488262922977542E-2</v>
      </c>
      <c r="F10" s="104">
        <v>1907.0204276386953</v>
      </c>
      <c r="G10" s="108">
        <v>0.80681318560544091</v>
      </c>
    </row>
    <row r="11" spans="1:7" ht="20.100000000000001" customHeight="1" x14ac:dyDescent="0.25">
      <c r="A11" s="106" t="s">
        <v>94</v>
      </c>
      <c r="B11" s="109">
        <v>30.999272805154742</v>
      </c>
      <c r="C11" s="109">
        <v>0.15675350762780385</v>
      </c>
      <c r="D11" s="109">
        <v>9.497032883753004</v>
      </c>
      <c r="E11" s="462">
        <v>4.8023488355421418E-2</v>
      </c>
      <c r="F11" s="110">
        <v>613.56262292029635</v>
      </c>
      <c r="G11" s="111">
        <v>3.102591918739428</v>
      </c>
    </row>
    <row r="12" spans="1:7" ht="20.100000000000001" customHeight="1" x14ac:dyDescent="0.25">
      <c r="A12" s="106" t="s">
        <v>95</v>
      </c>
      <c r="B12" s="109">
        <v>63.562977715049129</v>
      </c>
      <c r="C12" s="109">
        <v>0.1259881997907171</v>
      </c>
      <c r="D12" s="109">
        <v>19.473350015123607</v>
      </c>
      <c r="E12" s="462">
        <v>3.859813370132735E-2</v>
      </c>
      <c r="F12" s="110">
        <v>1258.0897485112864</v>
      </c>
      <c r="G12" s="111">
        <v>2.4936601192704284</v>
      </c>
    </row>
    <row r="13" spans="1:7" ht="20.100000000000001" customHeight="1" x14ac:dyDescent="0.25">
      <c r="A13" s="106" t="s">
        <v>96</v>
      </c>
      <c r="B13" s="109">
        <v>1.7869146228856105</v>
      </c>
      <c r="C13" s="109">
        <v>8.9805725280022716E-2</v>
      </c>
      <c r="D13" s="109">
        <v>0.54744467848232248</v>
      </c>
      <c r="E13" s="462">
        <v>2.7513159147134602E-2</v>
      </c>
      <c r="F13" s="110">
        <v>35.368056207112524</v>
      </c>
      <c r="G13" s="111">
        <v>1.7775073854928531</v>
      </c>
    </row>
    <row r="14" spans="1:7" ht="15" x14ac:dyDescent="0.25">
      <c r="A14" s="99" t="s">
        <v>48</v>
      </c>
      <c r="B14" s="103">
        <v>0.30047063380779226</v>
      </c>
      <c r="C14" s="100">
        <v>4.6503158386681587E-3</v>
      </c>
      <c r="D14" s="103">
        <v>9.2053110658782938E-2</v>
      </c>
      <c r="E14" s="100">
        <v>1.42468511172059E-3</v>
      </c>
      <c r="F14" s="101">
        <v>5.9471572558623649</v>
      </c>
      <c r="G14" s="102">
        <v>9.204280375591832E-2</v>
      </c>
    </row>
    <row r="15" spans="1:7" ht="15" x14ac:dyDescent="0.25">
      <c r="A15" s="99" t="s">
        <v>53</v>
      </c>
      <c r="B15" s="103">
        <v>0.40815076806630646</v>
      </c>
      <c r="C15" s="100">
        <v>8.2880531906888589E-3</v>
      </c>
      <c r="D15" s="103">
        <v>0.12504232890296049</v>
      </c>
      <c r="E15" s="100">
        <v>2.5391535533432711E-3</v>
      </c>
      <c r="F15" s="101">
        <v>8.0784493680140219</v>
      </c>
      <c r="G15" s="102">
        <v>0.16404383698111732</v>
      </c>
    </row>
    <row r="16" spans="1:7" ht="15" x14ac:dyDescent="0.25">
      <c r="A16" s="99" t="s">
        <v>56</v>
      </c>
      <c r="B16" s="103">
        <v>7.2592027936311268E-2</v>
      </c>
      <c r="C16" s="100">
        <v>3.5859042082487134E-3</v>
      </c>
      <c r="D16" s="103">
        <v>2.2239517705551652E-2</v>
      </c>
      <c r="E16" s="100">
        <v>1.0985886797339117E-3</v>
      </c>
      <c r="F16" s="101">
        <v>1.4367999966857363</v>
      </c>
      <c r="G16" s="102">
        <v>7.0975109815742218E-2</v>
      </c>
    </row>
    <row r="17" spans="1:7" ht="15" x14ac:dyDescent="0.25">
      <c r="A17" s="99" t="s">
        <v>152</v>
      </c>
      <c r="B17" s="103">
        <v>1.9431431541673723</v>
      </c>
      <c r="C17" s="100">
        <v>3.6158095931180564E-2</v>
      </c>
      <c r="D17" s="103">
        <v>0.5953073334642357</v>
      </c>
      <c r="E17" s="100">
        <v>1.1077505857337914E-2</v>
      </c>
      <c r="F17" s="101">
        <v>38.460257370369604</v>
      </c>
      <c r="G17" s="102">
        <v>0.71567021325899449</v>
      </c>
    </row>
    <row r="18" spans="1:7" ht="15" x14ac:dyDescent="0.25">
      <c r="A18" s="99" t="s">
        <v>62</v>
      </c>
      <c r="B18" s="103"/>
      <c r="C18" s="103"/>
      <c r="D18" s="463">
        <v>30.636308610999993</v>
      </c>
      <c r="E18" s="107"/>
      <c r="F18" s="104">
        <v>1979.2806972499998</v>
      </c>
      <c r="G18" s="105"/>
    </row>
    <row r="23" spans="1:7" x14ac:dyDescent="0.2">
      <c r="F23" s="37"/>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7" sqref="D17"/>
    </sheetView>
  </sheetViews>
  <sheetFormatPr baseColWidth="10" defaultRowHeight="12.75" x14ac:dyDescent="0.2"/>
  <cols>
    <col min="1" max="1" width="31.7109375" customWidth="1"/>
    <col min="2" max="4" width="20.7109375" customWidth="1"/>
  </cols>
  <sheetData>
    <row r="1" spans="1:4" ht="45" x14ac:dyDescent="0.25">
      <c r="A1" s="112"/>
      <c r="B1" s="113" t="s">
        <v>158</v>
      </c>
      <c r="C1" s="1" t="s">
        <v>3</v>
      </c>
      <c r="D1" s="1" t="s">
        <v>162</v>
      </c>
    </row>
    <row r="2" spans="1:4" ht="34.5" customHeight="1" x14ac:dyDescent="0.2">
      <c r="A2" s="117" t="s">
        <v>163</v>
      </c>
      <c r="B2" s="114">
        <v>94.562250520203875</v>
      </c>
      <c r="C2" s="114">
        <v>28.970382898876615</v>
      </c>
      <c r="D2" s="115">
        <v>1871652.3714315828</v>
      </c>
    </row>
    <row r="3" spans="1:4" ht="24.95" customHeight="1" x14ac:dyDescent="0.2">
      <c r="A3" s="118" t="s">
        <v>184</v>
      </c>
      <c r="B3" s="116">
        <v>5.4377494797961248</v>
      </c>
      <c r="C3" s="116">
        <v>1.6659257121233879</v>
      </c>
      <c r="D3" s="101">
        <v>107628.32581841698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70" zoomScaleNormal="70" workbookViewId="0">
      <selection activeCell="I5" sqref="I5"/>
    </sheetView>
  </sheetViews>
  <sheetFormatPr baseColWidth="10" defaultColWidth="11.42578125" defaultRowHeight="15" x14ac:dyDescent="0.25"/>
  <cols>
    <col min="1" max="1" width="37.85546875" style="258" customWidth="1"/>
    <col min="2" max="2" width="16.5703125" style="258" customWidth="1"/>
    <col min="3" max="7" width="15.7109375" style="258" customWidth="1"/>
    <col min="8" max="9" width="20.7109375" style="258" customWidth="1"/>
    <col min="10" max="10" width="23.28515625" style="258" customWidth="1"/>
    <col min="11" max="14" width="20.7109375" style="258" customWidth="1"/>
    <col min="15" max="15" width="18.42578125" style="258" customWidth="1"/>
    <col min="16" max="16" width="19" style="258" customWidth="1"/>
    <col min="17" max="17" width="21.140625" style="258" customWidth="1"/>
    <col min="18" max="18" width="23" style="258" customWidth="1"/>
    <col min="19" max="19" width="23.28515625" style="258" customWidth="1"/>
    <col min="20" max="20" width="31.5703125" style="258" customWidth="1"/>
    <col min="21" max="28" width="20.7109375" style="258" customWidth="1"/>
    <col min="29" max="16384" width="11.42578125" style="258"/>
  </cols>
  <sheetData>
    <row r="1" spans="1:10" x14ac:dyDescent="0.25">
      <c r="A1" s="403" t="s">
        <v>291</v>
      </c>
    </row>
    <row r="2" spans="1:10" x14ac:dyDescent="0.25">
      <c r="F2" s="294"/>
    </row>
    <row r="3" spans="1:10" ht="21" customHeight="1" x14ac:dyDescent="0.25">
      <c r="B3" s="618">
        <v>2007</v>
      </c>
      <c r="C3" s="618"/>
      <c r="D3" s="618"/>
      <c r="E3" s="618"/>
      <c r="F3" s="619">
        <v>2017</v>
      </c>
      <c r="G3" s="619"/>
      <c r="H3" s="619"/>
      <c r="I3" s="619"/>
      <c r="J3" s="413"/>
    </row>
    <row r="4" spans="1:10" ht="29.25" customHeight="1" x14ac:dyDescent="0.25">
      <c r="A4" s="399" t="s">
        <v>159</v>
      </c>
      <c r="B4" s="404" t="s">
        <v>3</v>
      </c>
      <c r="C4" s="313" t="s">
        <v>4</v>
      </c>
      <c r="D4" s="313" t="s">
        <v>164</v>
      </c>
      <c r="E4" s="313" t="s">
        <v>290</v>
      </c>
      <c r="F4" s="404" t="s">
        <v>3</v>
      </c>
      <c r="G4" s="313" t="s">
        <v>4</v>
      </c>
      <c r="H4" s="313" t="s">
        <v>164</v>
      </c>
      <c r="I4" s="313" t="s">
        <v>290</v>
      </c>
    </row>
    <row r="5" spans="1:10" ht="20.100000000000001" customHeight="1" x14ac:dyDescent="0.25">
      <c r="A5" s="300" t="s">
        <v>6</v>
      </c>
      <c r="B5" s="405">
        <v>0.31</v>
      </c>
      <c r="C5" s="406">
        <v>0.1</v>
      </c>
      <c r="D5" s="407">
        <v>19424</v>
      </c>
      <c r="E5" s="401">
        <v>6265.8064516129043</v>
      </c>
      <c r="F5" s="358">
        <v>0.76599582330270199</v>
      </c>
      <c r="G5" s="400">
        <v>0.25993488672264276</v>
      </c>
      <c r="H5" s="401">
        <v>49507.154743339837</v>
      </c>
      <c r="I5" s="401">
        <v>16799.878365766268</v>
      </c>
    </row>
    <row r="6" spans="1:10" ht="20.100000000000001" customHeight="1" x14ac:dyDescent="0.25">
      <c r="A6" s="300" t="s">
        <v>12</v>
      </c>
      <c r="B6" s="408">
        <v>23.91</v>
      </c>
      <c r="C6" s="406">
        <v>4.3</v>
      </c>
      <c r="D6" s="407">
        <v>1520409</v>
      </c>
      <c r="E6" s="401">
        <v>273431.98243412795</v>
      </c>
      <c r="F6" s="358">
        <v>22.857874072590057</v>
      </c>
      <c r="G6" s="400">
        <v>1.934337435037653</v>
      </c>
      <c r="H6" s="401">
        <v>1477329.6072768541</v>
      </c>
      <c r="I6" s="401">
        <v>125018.36147010012</v>
      </c>
    </row>
    <row r="7" spans="1:10" ht="20.100000000000001" customHeight="1" x14ac:dyDescent="0.25">
      <c r="A7" s="300" t="s">
        <v>18</v>
      </c>
      <c r="B7" s="408">
        <v>8.75</v>
      </c>
      <c r="C7" s="406">
        <v>2.2999999999999998</v>
      </c>
      <c r="D7" s="407">
        <v>556372</v>
      </c>
      <c r="E7" s="401">
        <v>146246.35428571427</v>
      </c>
      <c r="F7" s="358">
        <v>12.557187446056611</v>
      </c>
      <c r="G7" s="400">
        <v>1.7406915810488566</v>
      </c>
      <c r="H7" s="401">
        <v>811584.87177204958</v>
      </c>
      <c r="I7" s="401">
        <v>112502.81638854288</v>
      </c>
    </row>
    <row r="8" spans="1:10" ht="20.100000000000001" customHeight="1" x14ac:dyDescent="0.25">
      <c r="A8" s="300" t="s">
        <v>22</v>
      </c>
      <c r="B8" s="408">
        <v>1.1599999999999999</v>
      </c>
      <c r="C8" s="406">
        <v>0.3</v>
      </c>
      <c r="D8" s="407">
        <v>73784</v>
      </c>
      <c r="E8" s="401">
        <v>19082.068965517243</v>
      </c>
      <c r="F8" s="358">
        <v>1.1258061243557433</v>
      </c>
      <c r="G8" s="400">
        <v>0.15753842935256893</v>
      </c>
      <c r="H8" s="401">
        <v>72762.0912724667</v>
      </c>
      <c r="I8" s="401">
        <v>10181.882410732498</v>
      </c>
    </row>
    <row r="9" spans="1:10" ht="20.100000000000001" customHeight="1" x14ac:dyDescent="0.25">
      <c r="A9" s="300" t="s">
        <v>26</v>
      </c>
      <c r="B9" s="408">
        <v>0.11</v>
      </c>
      <c r="C9" s="406">
        <v>0.02</v>
      </c>
      <c r="D9" s="407">
        <v>7225</v>
      </c>
      <c r="E9" s="401">
        <v>1313.6363636363637</v>
      </c>
      <c r="F9" s="358">
        <v>0.24014191472624066</v>
      </c>
      <c r="G9" s="400">
        <v>0.10570577918910763</v>
      </c>
      <c r="H9" s="401">
        <v>15520.636759419755</v>
      </c>
      <c r="I9" s="401">
        <v>6831.881073472171</v>
      </c>
    </row>
    <row r="10" spans="1:10" ht="20.100000000000001" customHeight="1" x14ac:dyDescent="0.25">
      <c r="A10" s="300" t="s">
        <v>27</v>
      </c>
      <c r="B10" s="408">
        <v>0.2</v>
      </c>
      <c r="C10" s="406">
        <v>0.02</v>
      </c>
      <c r="D10" s="407">
        <v>12565</v>
      </c>
      <c r="E10" s="401">
        <v>1256.5</v>
      </c>
      <c r="F10" s="358">
        <v>0.35952156674396146</v>
      </c>
      <c r="G10" s="400">
        <v>9.3317315113656693E-2</v>
      </c>
      <c r="H10" s="401">
        <v>23236.275312336282</v>
      </c>
      <c r="I10" s="401">
        <v>6031.2009791979635</v>
      </c>
    </row>
    <row r="11" spans="1:10" ht="20.100000000000001" customHeight="1" x14ac:dyDescent="0.25">
      <c r="A11" s="300" t="s">
        <v>31</v>
      </c>
      <c r="B11" s="408">
        <v>6.83</v>
      </c>
      <c r="C11" s="406">
        <v>0.7</v>
      </c>
      <c r="D11" s="407">
        <v>434482</v>
      </c>
      <c r="E11" s="401">
        <v>44529.633967789159</v>
      </c>
      <c r="F11" s="358">
        <v>7.5942101291618469</v>
      </c>
      <c r="G11" s="400">
        <v>0.86149564618517493</v>
      </c>
      <c r="H11" s="401">
        <v>490822.17497846787</v>
      </c>
      <c r="I11" s="401">
        <v>55679.41360634382</v>
      </c>
    </row>
    <row r="12" spans="1:10" ht="20.100000000000001" customHeight="1" x14ac:dyDescent="0.25">
      <c r="A12" s="300" t="s">
        <v>39</v>
      </c>
      <c r="B12" s="408">
        <v>0.19</v>
      </c>
      <c r="C12" s="406">
        <v>0.02</v>
      </c>
      <c r="D12" s="407">
        <v>12092</v>
      </c>
      <c r="E12" s="401">
        <v>1272.8421052631579</v>
      </c>
      <c r="F12" s="358">
        <v>0.61927669414878572</v>
      </c>
      <c r="G12" s="400">
        <v>0.21580109197020531</v>
      </c>
      <c r="H12" s="401">
        <v>40024.535635166729</v>
      </c>
      <c r="I12" s="401">
        <v>13947.462543446196</v>
      </c>
    </row>
    <row r="13" spans="1:10" ht="20.100000000000001" customHeight="1" x14ac:dyDescent="0.25">
      <c r="A13" s="300" t="s">
        <v>44</v>
      </c>
      <c r="B13" s="408">
        <v>28.81</v>
      </c>
      <c r="C13" s="406">
        <v>2.7</v>
      </c>
      <c r="D13" s="407">
        <v>1831507</v>
      </c>
      <c r="E13" s="401">
        <v>171644.18257549463</v>
      </c>
      <c r="F13" s="358">
        <v>30.096915579568346</v>
      </c>
      <c r="G13" s="400">
        <v>0.22350775954976113</v>
      </c>
      <c r="H13" s="401">
        <v>1945196.8425500286</v>
      </c>
      <c r="I13" s="401">
        <v>14445.552967453346</v>
      </c>
    </row>
    <row r="14" spans="1:10" ht="20.100000000000001" customHeight="1" x14ac:dyDescent="0.25">
      <c r="A14" s="300" t="s">
        <v>48</v>
      </c>
      <c r="B14" s="408">
        <v>2.46</v>
      </c>
      <c r="C14" s="406">
        <v>0.3</v>
      </c>
      <c r="D14" s="407">
        <v>156220</v>
      </c>
      <c r="E14" s="401">
        <v>19051.219512195123</v>
      </c>
      <c r="F14" s="358">
        <v>2.4612464882183702</v>
      </c>
      <c r="G14" s="400">
        <v>0.38430146899908429</v>
      </c>
      <c r="H14" s="401">
        <v>159073.07461332835</v>
      </c>
      <c r="I14" s="401">
        <v>24837.827720520119</v>
      </c>
    </row>
    <row r="15" spans="1:10" ht="20.100000000000001" customHeight="1" x14ac:dyDescent="0.25">
      <c r="A15" s="300" t="s">
        <v>53</v>
      </c>
      <c r="B15" s="408">
        <v>0.18</v>
      </c>
      <c r="C15" s="406">
        <v>0.03</v>
      </c>
      <c r="D15" s="407">
        <v>11389</v>
      </c>
      <c r="E15" s="401">
        <v>1898.1666666666665</v>
      </c>
      <c r="F15" s="358">
        <v>0.28572173201782008</v>
      </c>
      <c r="G15" s="400">
        <v>7.9380459527213273E-2</v>
      </c>
      <c r="H15" s="401">
        <v>18466.510613010803</v>
      </c>
      <c r="I15" s="401">
        <v>5130.4466341171892</v>
      </c>
    </row>
    <row r="16" spans="1:10" ht="20.100000000000001" customHeight="1" x14ac:dyDescent="0.25">
      <c r="A16" s="300" t="s">
        <v>56</v>
      </c>
      <c r="B16" s="408">
        <v>0.19</v>
      </c>
      <c r="C16" s="406">
        <v>0.04</v>
      </c>
      <c r="D16" s="407">
        <v>11961</v>
      </c>
      <c r="E16" s="401">
        <v>2518.1052631578946</v>
      </c>
      <c r="F16" s="358">
        <v>0.2597126561630948</v>
      </c>
      <c r="G16" s="400">
        <v>8.7220604629721463E-2</v>
      </c>
      <c r="H16" s="401">
        <v>16785.515359643334</v>
      </c>
      <c r="I16" s="401">
        <v>5637.1638576218475</v>
      </c>
    </row>
    <row r="17" spans="1:9" ht="20.100000000000001" customHeight="1" x14ac:dyDescent="0.25">
      <c r="A17" s="300" t="s">
        <v>152</v>
      </c>
      <c r="B17" s="408">
        <v>1.06</v>
      </c>
      <c r="C17" s="406">
        <v>0.1</v>
      </c>
      <c r="D17" s="407">
        <v>67538</v>
      </c>
      <c r="E17" s="401">
        <v>6371.5094339622647</v>
      </c>
      <c r="F17" s="358">
        <v>0.94182369117580245</v>
      </c>
      <c r="G17" s="400">
        <v>0.1602939755353614</v>
      </c>
      <c r="H17" s="401">
        <v>60871.103733888311</v>
      </c>
      <c r="I17" s="401">
        <v>10359.976399137988</v>
      </c>
    </row>
    <row r="18" spans="1:9" ht="20.100000000000001" customHeight="1" x14ac:dyDescent="0.25">
      <c r="A18" s="300" t="s">
        <v>62</v>
      </c>
      <c r="B18" s="409">
        <f>SUM(B5:B17)</f>
        <v>74.16</v>
      </c>
      <c r="C18" s="410"/>
      <c r="D18" s="411">
        <f>SUM(D5:D17)</f>
        <v>4714968</v>
      </c>
      <c r="E18" s="300"/>
      <c r="F18" s="412">
        <v>80.165433918229354</v>
      </c>
      <c r="G18" s="300"/>
      <c r="H18" s="303">
        <v>5181180.3946199995</v>
      </c>
      <c r="I18" s="303"/>
    </row>
  </sheetData>
  <mergeCells count="2">
    <mergeCell ref="B3:E3"/>
    <mergeCell ref="F3:I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zoomScale="90" zoomScaleNormal="90" workbookViewId="0">
      <selection activeCell="H35" sqref="H22:H35"/>
    </sheetView>
  </sheetViews>
  <sheetFormatPr baseColWidth="10" defaultColWidth="11.42578125" defaultRowHeight="15" x14ac:dyDescent="0.25"/>
  <cols>
    <col min="1" max="1" width="26.28515625" style="258" customWidth="1"/>
    <col min="2" max="4" width="15.7109375" style="258" customWidth="1"/>
    <col min="5" max="5" width="12.7109375" style="258" customWidth="1"/>
    <col min="6" max="6" width="14.5703125" style="258" customWidth="1"/>
    <col min="7" max="7" width="14.140625" style="258" customWidth="1"/>
    <col min="8" max="8" width="15.140625" style="258" customWidth="1"/>
    <col min="9" max="16384" width="11.42578125" style="258"/>
  </cols>
  <sheetData>
    <row r="3" spans="1:4" ht="30" x14ac:dyDescent="0.25">
      <c r="A3" s="260" t="s">
        <v>309</v>
      </c>
      <c r="B3" s="261" t="s">
        <v>229</v>
      </c>
      <c r="C3" s="261" t="s">
        <v>230</v>
      </c>
      <c r="D3" s="262" t="s">
        <v>231</v>
      </c>
    </row>
    <row r="4" spans="1:4" x14ac:dyDescent="0.25">
      <c r="A4" s="263" t="s">
        <v>232</v>
      </c>
      <c r="B4" s="264">
        <v>67.750021539402113</v>
      </c>
      <c r="C4" s="265">
        <v>8.6910300862877925</v>
      </c>
      <c r="D4" s="266">
        <v>3.1100451744610509</v>
      </c>
    </row>
    <row r="5" spans="1:4" x14ac:dyDescent="0.25">
      <c r="A5" s="263" t="s">
        <v>233</v>
      </c>
      <c r="B5" s="264"/>
      <c r="C5" s="265"/>
      <c r="D5" s="266"/>
    </row>
    <row r="6" spans="1:4" x14ac:dyDescent="0.25">
      <c r="A6" s="263" t="s">
        <v>234</v>
      </c>
      <c r="B6" s="264"/>
      <c r="C6" s="265"/>
      <c r="D6" s="266"/>
    </row>
    <row r="7" spans="1:4" x14ac:dyDescent="0.25">
      <c r="A7" s="263" t="s">
        <v>235</v>
      </c>
      <c r="B7" s="264"/>
      <c r="C7" s="265"/>
      <c r="D7" s="266"/>
    </row>
    <row r="8" spans="1:4" x14ac:dyDescent="0.25">
      <c r="A8" s="263" t="s">
        <v>236</v>
      </c>
      <c r="B8" s="264"/>
      <c r="C8" s="265"/>
      <c r="D8" s="266"/>
    </row>
    <row r="9" spans="1:4" x14ac:dyDescent="0.25">
      <c r="A9" s="263" t="s">
        <v>27</v>
      </c>
      <c r="B9" s="264"/>
      <c r="C9" s="265"/>
      <c r="D9" s="266"/>
    </row>
    <row r="10" spans="1:4" x14ac:dyDescent="0.25">
      <c r="A10" s="263" t="s">
        <v>237</v>
      </c>
      <c r="B10" s="264">
        <v>0.69351643049524703</v>
      </c>
      <c r="C10" s="265">
        <v>0.97898388676346193</v>
      </c>
      <c r="D10" s="266">
        <v>0.3503248847000951</v>
      </c>
    </row>
    <row r="11" spans="1:4" x14ac:dyDescent="0.25">
      <c r="A11" s="263" t="s">
        <v>238</v>
      </c>
      <c r="B11" s="264"/>
      <c r="C11" s="265"/>
      <c r="D11" s="266"/>
    </row>
    <row r="12" spans="1:4" x14ac:dyDescent="0.25">
      <c r="A12" s="263" t="s">
        <v>239</v>
      </c>
      <c r="B12" s="264">
        <v>2.02467887788552</v>
      </c>
      <c r="C12" s="265">
        <v>1.7208197383635271</v>
      </c>
      <c r="D12" s="266">
        <v>0.61578743489320331</v>
      </c>
    </row>
    <row r="13" spans="1:4" x14ac:dyDescent="0.25">
      <c r="A13" s="263" t="s">
        <v>240</v>
      </c>
      <c r="B13" s="264">
        <v>0.26096911234929188</v>
      </c>
      <c r="C13" s="265">
        <v>0.31813095664293101</v>
      </c>
      <c r="D13" s="266">
        <v>0.1138417007801004</v>
      </c>
    </row>
    <row r="14" spans="1:4" x14ac:dyDescent="0.25">
      <c r="A14" s="263" t="s">
        <v>241</v>
      </c>
      <c r="B14" s="264">
        <v>29.27081403986783</v>
      </c>
      <c r="C14" s="265">
        <v>9.2022334814179203</v>
      </c>
      <c r="D14" s="266">
        <v>3.292976960038569</v>
      </c>
    </row>
    <row r="15" spans="1:4" x14ac:dyDescent="0.25">
      <c r="A15" s="263" t="s">
        <v>242</v>
      </c>
      <c r="B15" s="264"/>
      <c r="C15" s="267"/>
      <c r="D15" s="268"/>
    </row>
    <row r="16" spans="1:4" x14ac:dyDescent="0.25">
      <c r="A16" s="269" t="s">
        <v>243</v>
      </c>
      <c r="B16" s="270"/>
      <c r="C16" s="270"/>
      <c r="D16" s="271"/>
    </row>
    <row r="20" spans="1:8" ht="15.75" thickBot="1" x14ac:dyDescent="0.3"/>
    <row r="21" spans="1:8" ht="33" customHeight="1" x14ac:dyDescent="0.25">
      <c r="A21" s="272" t="s">
        <v>244</v>
      </c>
      <c r="B21" s="273" t="s">
        <v>245</v>
      </c>
      <c r="C21" s="273" t="s">
        <v>308</v>
      </c>
      <c r="D21" s="273" t="s">
        <v>246</v>
      </c>
      <c r="E21" s="273" t="s">
        <v>252</v>
      </c>
      <c r="F21" s="273" t="s">
        <v>167</v>
      </c>
      <c r="G21" s="427" t="s">
        <v>247</v>
      </c>
      <c r="H21" s="274" t="s">
        <v>248</v>
      </c>
    </row>
    <row r="22" spans="1:8" x14ac:dyDescent="0.25">
      <c r="A22" s="275" t="s">
        <v>6</v>
      </c>
      <c r="B22" s="264">
        <v>27.301368893936182</v>
      </c>
      <c r="C22" s="264">
        <v>1.0646447002560213</v>
      </c>
      <c r="D22" s="276">
        <v>32.759132697486379</v>
      </c>
      <c r="E22" s="264">
        <v>1.3151817716089478</v>
      </c>
      <c r="F22" s="265">
        <v>83.113195566792697</v>
      </c>
      <c r="G22" s="266">
        <v>3.3367476727490617</v>
      </c>
      <c r="H22" s="429">
        <f>Tableau2[[#This Row],[Moyenne OMR (%)]]*B$38/100</f>
        <v>5372392.0480746711</v>
      </c>
    </row>
    <row r="23" spans="1:8" x14ac:dyDescent="0.25">
      <c r="A23" s="275" t="s">
        <v>12</v>
      </c>
      <c r="B23" s="264">
        <v>8.6128091519223293</v>
      </c>
      <c r="C23" s="264">
        <v>0.5643604713362893</v>
      </c>
      <c r="D23" s="276">
        <v>8.6128091519223293</v>
      </c>
      <c r="E23" s="264">
        <v>0.5643604713362893</v>
      </c>
      <c r="F23" s="265">
        <v>21.851558099342142</v>
      </c>
      <c r="G23" s="266">
        <v>1.4318389518272996</v>
      </c>
      <c r="H23" s="429">
        <f>Tableau2[[#This Row],[Moyenne OMR (%)]]*B$38/100</f>
        <v>1412472.9072245157</v>
      </c>
    </row>
    <row r="24" spans="1:8" x14ac:dyDescent="0.25">
      <c r="A24" s="275" t="s">
        <v>18</v>
      </c>
      <c r="B24" s="264">
        <v>6.4080714900852618</v>
      </c>
      <c r="C24" s="264">
        <v>0.39049244381685566</v>
      </c>
      <c r="D24" s="276">
        <v>6.4080714900852618</v>
      </c>
      <c r="E24" s="264">
        <v>0.39049244381685566</v>
      </c>
      <c r="F24" s="265">
        <v>16.257918177495316</v>
      </c>
      <c r="G24" s="266">
        <v>0.99071837920774442</v>
      </c>
      <c r="H24" s="429">
        <f>Tableau2[[#This Row],[Moyenne OMR (%)]]*B$38/100</f>
        <v>1050903.0454115057</v>
      </c>
    </row>
    <row r="25" spans="1:8" x14ac:dyDescent="0.25">
      <c r="A25" s="275" t="s">
        <v>22</v>
      </c>
      <c r="B25" s="264">
        <v>2.3372684964182922</v>
      </c>
      <c r="C25" s="264">
        <v>0.1431839166770309</v>
      </c>
      <c r="D25" s="276">
        <v>2.3372684964182922</v>
      </c>
      <c r="E25" s="264">
        <v>0.1431839166770309</v>
      </c>
      <c r="F25" s="265">
        <v>5.9298839022628496</v>
      </c>
      <c r="G25" s="266">
        <v>0.36327191500129513</v>
      </c>
      <c r="H25" s="429">
        <f>Tableau2[[#This Row],[Moyenne OMR (%)]]*B$38/100</f>
        <v>383304.49100493302</v>
      </c>
    </row>
    <row r="26" spans="1:8" x14ac:dyDescent="0.25">
      <c r="A26" s="275" t="s">
        <v>26</v>
      </c>
      <c r="B26" s="264">
        <v>3.0316602797141745</v>
      </c>
      <c r="C26" s="264">
        <v>0.24249289845197514</v>
      </c>
      <c r="D26" s="276">
        <v>3.0316602797141745</v>
      </c>
      <c r="E26" s="264">
        <v>0.24249289845197514</v>
      </c>
      <c r="F26" s="265">
        <v>7.691625295662833</v>
      </c>
      <c r="G26" s="266">
        <v>0.61522873266250622</v>
      </c>
      <c r="H26" s="429">
        <f>Tableau2[[#This Row],[Moyenne OMR (%)]]*B$38/100</f>
        <v>497182.50265062699</v>
      </c>
    </row>
    <row r="27" spans="1:8" x14ac:dyDescent="0.25">
      <c r="A27" s="275" t="s">
        <v>27</v>
      </c>
      <c r="B27" s="264">
        <v>13.912847770848886</v>
      </c>
      <c r="C27" s="264">
        <v>0.65771003416255058</v>
      </c>
      <c r="D27" s="276">
        <v>13.912847770848886</v>
      </c>
      <c r="E27" s="264">
        <v>0.65771003416255058</v>
      </c>
      <c r="F27" s="265">
        <v>35.298286079420706</v>
      </c>
      <c r="G27" s="266">
        <v>1.6686761276738069</v>
      </c>
      <c r="H27" s="429">
        <f>Tableau2[[#This Row],[Moyenne OMR (%)]]*B$38/100</f>
        <v>2281662.1374080884</v>
      </c>
    </row>
    <row r="28" spans="1:8" x14ac:dyDescent="0.25">
      <c r="A28" s="275" t="s">
        <v>31</v>
      </c>
      <c r="B28" s="264">
        <v>14.63879206445708</v>
      </c>
      <c r="C28" s="264">
        <v>0.43476755718004734</v>
      </c>
      <c r="D28" s="276">
        <v>14.694659926717803</v>
      </c>
      <c r="E28" s="264">
        <v>0.46298880983436713</v>
      </c>
      <c r="F28" s="265">
        <v>37.281821700075731</v>
      </c>
      <c r="G28" s="266">
        <v>1.1746489094307726</v>
      </c>
      <c r="H28" s="429">
        <f>Tableau2[[#This Row],[Moyenne OMR (%)]]*B$38/100</f>
        <v>2409876.808048638</v>
      </c>
    </row>
    <row r="29" spans="1:8" x14ac:dyDescent="0.25">
      <c r="A29" s="275" t="s">
        <v>39</v>
      </c>
      <c r="B29" s="264">
        <v>4.5703719854660001</v>
      </c>
      <c r="C29" s="264">
        <v>0.35012812524755127</v>
      </c>
      <c r="D29" s="276">
        <v>4.5703719854660037</v>
      </c>
      <c r="E29" s="264">
        <v>0.35012812524755127</v>
      </c>
      <c r="F29" s="265">
        <v>11.595490764325797</v>
      </c>
      <c r="G29" s="266">
        <v>0.88831006656556222</v>
      </c>
      <c r="H29" s="429">
        <f>Tableau2[[#This Row],[Moyenne OMR (%)]]*B$38/100</f>
        <v>749526.25694345159</v>
      </c>
    </row>
    <row r="30" spans="1:8" x14ac:dyDescent="0.25">
      <c r="A30" s="275" t="s">
        <v>44</v>
      </c>
      <c r="B30" s="264">
        <v>5.1855164523024326</v>
      </c>
      <c r="C30" s="264">
        <v>0.37761031005790568</v>
      </c>
      <c r="D30" s="276">
        <v>5.3486192652972537</v>
      </c>
      <c r="E30" s="264">
        <v>0.42721652857233905</v>
      </c>
      <c r="F30" s="265">
        <v>13.569981937985663</v>
      </c>
      <c r="G30" s="266">
        <v>1.0838910546408813</v>
      </c>
      <c r="H30" s="429">
        <f>Tableau2[[#This Row],[Moyenne OMR (%)]]*B$38/100</f>
        <v>877156.29941774358</v>
      </c>
    </row>
    <row r="31" spans="1:8" x14ac:dyDescent="0.25">
      <c r="A31" s="275" t="s">
        <v>48</v>
      </c>
      <c r="B31" s="264">
        <v>3.4183849532179504</v>
      </c>
      <c r="C31" s="264">
        <v>0.23405386538921313</v>
      </c>
      <c r="D31" s="276">
        <v>3.4394079395264674</v>
      </c>
      <c r="E31" s="264">
        <v>0.24322465382196479</v>
      </c>
      <c r="F31" s="265">
        <v>8.7261218833726009</v>
      </c>
      <c r="G31" s="266">
        <v>0.61708526921170692</v>
      </c>
      <c r="H31" s="429">
        <f>Tableau2[[#This Row],[Moyenne OMR (%)]]*B$38/100</f>
        <v>564051.80305077776</v>
      </c>
    </row>
    <row r="32" spans="1:8" x14ac:dyDescent="0.25">
      <c r="A32" s="275" t="s">
        <v>53</v>
      </c>
      <c r="B32" s="264">
        <v>1.9075780702206353</v>
      </c>
      <c r="C32" s="264">
        <v>0.31249704437040132</v>
      </c>
      <c r="D32" s="276">
        <v>4.2655579754274582</v>
      </c>
      <c r="E32" s="264">
        <v>0.57777061993629142</v>
      </c>
      <c r="F32" s="265">
        <v>10.822147139457003</v>
      </c>
      <c r="G32" s="266">
        <v>1.4658618398403647</v>
      </c>
      <c r="H32" s="429">
        <f>Tableau2[[#This Row],[Moyenne OMR (%)]]*B$38/100</f>
        <v>699537.74293744785</v>
      </c>
    </row>
    <row r="33" spans="1:8" x14ac:dyDescent="0.25">
      <c r="A33" s="275" t="s">
        <v>56</v>
      </c>
      <c r="B33" s="264">
        <v>0.6195930210896996</v>
      </c>
      <c r="C33" s="264">
        <v>9.9471696966148021E-2</v>
      </c>
      <c r="D33" s="276">
        <v>0.6195930210896996</v>
      </c>
      <c r="E33" s="264">
        <v>9.9471696966148021E-2</v>
      </c>
      <c r="F33" s="265">
        <v>1.5719694538066769</v>
      </c>
      <c r="G33" s="266">
        <v>0.25236964237281417</v>
      </c>
      <c r="H33" s="429">
        <f>Tableau2[[#This Row],[Moyenne OMR (%)]]*B$38/100</f>
        <v>101611.25602083709</v>
      </c>
    </row>
    <row r="34" spans="1:8" ht="15.75" thickBot="1" x14ac:dyDescent="0.3">
      <c r="A34" s="277" t="s">
        <v>152</v>
      </c>
      <c r="B34" s="278">
        <v>8.0557373703210811</v>
      </c>
      <c r="C34" s="278">
        <v>0.65645883154232021</v>
      </c>
      <c r="D34" s="279"/>
      <c r="E34" s="279"/>
      <c r="F34" s="279"/>
      <c r="G34" s="428"/>
      <c r="H34" s="430">
        <f>Tableau2[[#This Row],[Moyenne OMR (%)]]*B$38/100</f>
        <v>0</v>
      </c>
    </row>
    <row r="35" spans="1:8" x14ac:dyDescent="0.25">
      <c r="A35" s="426"/>
      <c r="B35" s="426"/>
      <c r="C35"/>
      <c r="D35" s="426"/>
      <c r="E35" s="426"/>
      <c r="F35" s="426"/>
      <c r="G35" s="426"/>
      <c r="H35" s="431">
        <f>SUBTOTAL(109,Tableau2[Gisement national (t/an)])</f>
        <v>16399677.298193235</v>
      </c>
    </row>
    <row r="37" spans="1:8" x14ac:dyDescent="0.25">
      <c r="A37" s="280" t="s">
        <v>249</v>
      </c>
      <c r="B37" s="280">
        <v>253.71</v>
      </c>
      <c r="H37" s="281"/>
    </row>
    <row r="38" spans="1:8" x14ac:dyDescent="0.25">
      <c r="A38" s="425" t="s">
        <v>307</v>
      </c>
      <c r="B38" s="282">
        <v>16399677.298193235</v>
      </c>
    </row>
    <row r="39" spans="1:8" x14ac:dyDescent="0.25">
      <c r="A39" s="283"/>
      <c r="B39" s="284"/>
    </row>
  </sheetData>
  <pageMargins left="0.7" right="0.7" top="0.75" bottom="0.75" header="0.3" footer="0.3"/>
  <pageSetup paperSize="9" orientation="portrait" r:id="rId1"/>
  <drawing r:id="rId2"/>
  <tableParts count="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2" sqref="E2"/>
    </sheetView>
  </sheetViews>
  <sheetFormatPr baseColWidth="10" defaultRowHeight="12.75" x14ac:dyDescent="0.2"/>
  <cols>
    <col min="1" max="1" width="34.7109375" customWidth="1"/>
    <col min="2" max="5" width="15.7109375" customWidth="1"/>
  </cols>
  <sheetData>
    <row r="1" spans="1:5" ht="15" x14ac:dyDescent="0.2">
      <c r="B1" s="621">
        <v>2007</v>
      </c>
      <c r="C1" s="621"/>
      <c r="D1" s="620">
        <v>2017</v>
      </c>
      <c r="E1" s="620"/>
    </row>
    <row r="2" spans="1:5" ht="30" x14ac:dyDescent="0.2">
      <c r="A2" s="119" t="s">
        <v>159</v>
      </c>
      <c r="B2" s="120" t="s">
        <v>3</v>
      </c>
      <c r="C2" s="22" t="s">
        <v>318</v>
      </c>
      <c r="D2" s="120" t="s">
        <v>3</v>
      </c>
      <c r="E2" s="22" t="s">
        <v>318</v>
      </c>
    </row>
    <row r="3" spans="1:5" ht="15" x14ac:dyDescent="0.25">
      <c r="A3" s="121" t="s">
        <v>6</v>
      </c>
      <c r="B3" s="122">
        <v>0.31</v>
      </c>
      <c r="C3" s="123">
        <v>19.423999999999999</v>
      </c>
      <c r="D3" s="75">
        <v>0.76599582330270199</v>
      </c>
      <c r="E3" s="124">
        <v>49.507154743339839</v>
      </c>
    </row>
    <row r="4" spans="1:5" ht="15" x14ac:dyDescent="0.25">
      <c r="A4" s="121" t="s">
        <v>12</v>
      </c>
      <c r="B4" s="125">
        <v>23.91</v>
      </c>
      <c r="C4" s="123">
        <v>1520.4090000000001</v>
      </c>
      <c r="D4" s="75">
        <v>22.857874072590057</v>
      </c>
      <c r="E4" s="124">
        <v>1477.3296072768542</v>
      </c>
    </row>
    <row r="5" spans="1:5" ht="15" x14ac:dyDescent="0.25">
      <c r="A5" s="121" t="s">
        <v>18</v>
      </c>
      <c r="B5" s="125">
        <v>8.75</v>
      </c>
      <c r="C5" s="123">
        <v>556.37199999999996</v>
      </c>
      <c r="D5" s="75">
        <v>12.557187446056611</v>
      </c>
      <c r="E5" s="124">
        <v>811.58487177204961</v>
      </c>
    </row>
    <row r="6" spans="1:5" ht="15" x14ac:dyDescent="0.25">
      <c r="A6" s="121" t="s">
        <v>22</v>
      </c>
      <c r="B6" s="125">
        <v>1.1599999999999999</v>
      </c>
      <c r="C6" s="123">
        <v>73.784000000000006</v>
      </c>
      <c r="D6" s="75">
        <v>1.1258061243557433</v>
      </c>
      <c r="E6" s="124">
        <v>72.762091272466705</v>
      </c>
    </row>
    <row r="7" spans="1:5" ht="15" x14ac:dyDescent="0.25">
      <c r="A7" s="121" t="s">
        <v>26</v>
      </c>
      <c r="B7" s="125">
        <v>0.11</v>
      </c>
      <c r="C7" s="123">
        <v>7.2249999999999996</v>
      </c>
      <c r="D7" s="75">
        <v>0.24014191472624066</v>
      </c>
      <c r="E7" s="124">
        <v>15.520636759419755</v>
      </c>
    </row>
    <row r="8" spans="1:5" ht="15" x14ac:dyDescent="0.25">
      <c r="A8" s="121" t="s">
        <v>27</v>
      </c>
      <c r="B8" s="125">
        <v>0.2</v>
      </c>
      <c r="C8" s="123">
        <v>12.565</v>
      </c>
      <c r="D8" s="75">
        <v>0.35952156674396146</v>
      </c>
      <c r="E8" s="124">
        <v>23.236275312336282</v>
      </c>
    </row>
    <row r="9" spans="1:5" ht="15" x14ac:dyDescent="0.25">
      <c r="A9" s="121" t="s">
        <v>31</v>
      </c>
      <c r="B9" s="125">
        <v>6.83</v>
      </c>
      <c r="C9" s="123">
        <v>434.48200000000003</v>
      </c>
      <c r="D9" s="75">
        <v>7.5942101291618469</v>
      </c>
      <c r="E9" s="124">
        <v>490.82217497846784</v>
      </c>
    </row>
    <row r="10" spans="1:5" ht="15" x14ac:dyDescent="0.25">
      <c r="A10" s="121" t="s">
        <v>39</v>
      </c>
      <c r="B10" s="125">
        <v>0.19</v>
      </c>
      <c r="C10" s="123">
        <v>12.092000000000001</v>
      </c>
      <c r="D10" s="75">
        <v>0.61927669414878572</v>
      </c>
      <c r="E10" s="124">
        <v>40.024535635166728</v>
      </c>
    </row>
    <row r="11" spans="1:5" ht="15" x14ac:dyDescent="0.25">
      <c r="A11" s="121" t="s">
        <v>44</v>
      </c>
      <c r="B11" s="125">
        <v>28.81</v>
      </c>
      <c r="C11" s="123">
        <v>1831.5070000000001</v>
      </c>
      <c r="D11" s="75">
        <v>30.096915579568346</v>
      </c>
      <c r="E11" s="124">
        <v>1945.1968425500286</v>
      </c>
    </row>
    <row r="12" spans="1:5" ht="15" x14ac:dyDescent="0.25">
      <c r="A12" s="121" t="s">
        <v>48</v>
      </c>
      <c r="B12" s="125">
        <v>2.46</v>
      </c>
      <c r="C12" s="123">
        <v>156.22</v>
      </c>
      <c r="D12" s="75">
        <v>2.4612464882183702</v>
      </c>
      <c r="E12" s="124">
        <v>159.07307461332834</v>
      </c>
    </row>
    <row r="13" spans="1:5" ht="15" x14ac:dyDescent="0.25">
      <c r="A13" s="121" t="s">
        <v>53</v>
      </c>
      <c r="B13" s="125">
        <v>0.18</v>
      </c>
      <c r="C13" s="123">
        <v>11.388999999999999</v>
      </c>
      <c r="D13" s="75">
        <v>0.28572173201782008</v>
      </c>
      <c r="E13" s="124">
        <v>18.466510613010804</v>
      </c>
    </row>
    <row r="14" spans="1:5" ht="15" x14ac:dyDescent="0.25">
      <c r="A14" s="121" t="s">
        <v>56</v>
      </c>
      <c r="B14" s="125">
        <v>0.19</v>
      </c>
      <c r="C14" s="123">
        <v>11.961</v>
      </c>
      <c r="D14" s="75">
        <v>0.2597126561630948</v>
      </c>
      <c r="E14" s="124">
        <v>16.785515359643334</v>
      </c>
    </row>
    <row r="15" spans="1:5" ht="15" x14ac:dyDescent="0.25">
      <c r="A15" s="121" t="s">
        <v>152</v>
      </c>
      <c r="B15" s="125">
        <v>1.06</v>
      </c>
      <c r="C15" s="123">
        <v>67.537999999999997</v>
      </c>
      <c r="D15" s="75">
        <v>0.94182369117580245</v>
      </c>
      <c r="E15" s="124">
        <v>60.871103733888312</v>
      </c>
    </row>
    <row r="16" spans="1:5" ht="15" x14ac:dyDescent="0.25">
      <c r="A16" s="121" t="s">
        <v>62</v>
      </c>
      <c r="B16" s="126">
        <v>74.16</v>
      </c>
      <c r="C16" s="127">
        <v>4714.9679999999998</v>
      </c>
      <c r="D16" s="128">
        <v>80.165433918229354</v>
      </c>
      <c r="E16" s="129">
        <v>5181.1803946199998</v>
      </c>
    </row>
    <row r="18" spans="2:6" x14ac:dyDescent="0.2">
      <c r="B18" s="34"/>
      <c r="C18" s="34"/>
      <c r="D18" s="34"/>
      <c r="E18" s="34"/>
      <c r="F18" s="34"/>
    </row>
  </sheetData>
  <mergeCells count="2">
    <mergeCell ref="D1:E1"/>
    <mergeCell ref="B1:C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C17"/>
  <sheetViews>
    <sheetView zoomScale="80" zoomScaleNormal="80" workbookViewId="0">
      <selection activeCell="B6" sqref="B6"/>
    </sheetView>
  </sheetViews>
  <sheetFormatPr baseColWidth="10" defaultColWidth="11.42578125" defaultRowHeight="15" x14ac:dyDescent="0.25"/>
  <cols>
    <col min="1" max="1" width="50" style="258" customWidth="1"/>
    <col min="2" max="7" width="15.7109375" style="258" customWidth="1"/>
    <col min="8" max="8" width="38.28515625" style="258" customWidth="1"/>
    <col min="9" max="11" width="17.7109375" style="258" customWidth="1"/>
    <col min="12" max="12" width="27.28515625" style="258" customWidth="1"/>
    <col min="13" max="13" width="11.42578125" style="258"/>
    <col min="14" max="14" width="38.42578125" style="258" customWidth="1"/>
    <col min="15" max="20" width="12.7109375" style="258" customWidth="1"/>
    <col min="21" max="23" width="15.7109375" style="258" customWidth="1"/>
    <col min="24" max="16384" width="11.42578125" style="258"/>
  </cols>
  <sheetData>
    <row r="4" spans="1:3" x14ac:dyDescent="0.25">
      <c r="A4" s="258" t="s">
        <v>292</v>
      </c>
      <c r="B4" s="305" t="s">
        <v>123</v>
      </c>
      <c r="C4" s="305" t="s">
        <v>231</v>
      </c>
    </row>
    <row r="5" spans="1:3" x14ac:dyDescent="0.25">
      <c r="A5" s="305" t="s">
        <v>6</v>
      </c>
      <c r="B5" s="293">
        <v>81.507651182199183</v>
      </c>
      <c r="C5" s="359">
        <v>7.9211340203555549</v>
      </c>
    </row>
    <row r="6" spans="1:3" x14ac:dyDescent="0.25">
      <c r="A6" s="305" t="s">
        <v>12</v>
      </c>
      <c r="B6" s="293">
        <v>2.8952682361385271</v>
      </c>
      <c r="C6" s="359">
        <v>4.4077564499065476</v>
      </c>
    </row>
    <row r="7" spans="1:3" x14ac:dyDescent="0.25">
      <c r="A7" s="305" t="s">
        <v>18</v>
      </c>
      <c r="B7" s="293">
        <v>0.1291852399349199</v>
      </c>
      <c r="C7" s="359">
        <v>0.16549124688177599</v>
      </c>
    </row>
    <row r="8" spans="1:3" x14ac:dyDescent="0.25">
      <c r="A8" s="305" t="s">
        <v>22</v>
      </c>
      <c r="B8" s="293">
        <v>0.13711240168665451</v>
      </c>
      <c r="C8" s="359">
        <v>0.16704131105161971</v>
      </c>
    </row>
    <row r="9" spans="1:3" x14ac:dyDescent="0.25">
      <c r="A9" s="305" t="s">
        <v>26</v>
      </c>
      <c r="B9" s="293">
        <v>7.1383680295634584E-3</v>
      </c>
      <c r="C9" s="359">
        <v>9.3656291995351769E-3</v>
      </c>
    </row>
    <row r="10" spans="1:3" x14ac:dyDescent="0.25">
      <c r="A10" s="305" t="s">
        <v>27</v>
      </c>
      <c r="B10" s="293">
        <v>4.4073855027144742</v>
      </c>
      <c r="C10" s="359">
        <v>3.4547533160263648</v>
      </c>
    </row>
    <row r="11" spans="1:3" x14ac:dyDescent="0.25">
      <c r="A11" s="305" t="s">
        <v>31</v>
      </c>
      <c r="B11" s="293">
        <v>3.1050213038542021</v>
      </c>
      <c r="C11" s="359">
        <v>2.3297303523643822</v>
      </c>
    </row>
    <row r="12" spans="1:3" x14ac:dyDescent="0.25">
      <c r="A12" s="305" t="s">
        <v>39</v>
      </c>
      <c r="B12" s="293">
        <v>0.1404791681896996</v>
      </c>
      <c r="C12" s="359">
        <v>0.13838013103448779</v>
      </c>
    </row>
    <row r="13" spans="1:3" x14ac:dyDescent="0.25">
      <c r="A13" s="305" t="s">
        <v>44</v>
      </c>
      <c r="B13" s="293">
        <v>0.1263123856911065</v>
      </c>
      <c r="C13" s="359">
        <v>0.2248077587956413</v>
      </c>
    </row>
    <row r="14" spans="1:3" x14ac:dyDescent="0.25">
      <c r="A14" s="305" t="s">
        <v>48</v>
      </c>
      <c r="B14" s="293">
        <v>8.90606846432314E-2</v>
      </c>
      <c r="C14" s="359">
        <v>8.075462021510639E-2</v>
      </c>
    </row>
    <row r="15" spans="1:3" x14ac:dyDescent="0.25">
      <c r="A15" s="305" t="s">
        <v>53</v>
      </c>
      <c r="B15" s="293">
        <v>0.76143982572924085</v>
      </c>
      <c r="C15" s="359">
        <v>0.55857578904167149</v>
      </c>
    </row>
    <row r="16" spans="1:3" x14ac:dyDescent="0.25">
      <c r="A16" s="305" t="s">
        <v>56</v>
      </c>
      <c r="B16" s="293">
        <v>2.6932781599023091E-2</v>
      </c>
      <c r="C16" s="359">
        <v>3.1263131283867367E-2</v>
      </c>
    </row>
    <row r="17" spans="1:3" x14ac:dyDescent="0.25">
      <c r="A17" s="305" t="s">
        <v>152</v>
      </c>
      <c r="B17" s="293">
        <v>6.667012919590185</v>
      </c>
      <c r="C17" s="359">
        <v>6.007264548604752</v>
      </c>
    </row>
  </sheetData>
  <pageMargins left="0.7" right="0.7" top="0.75" bottom="0.75" header="0.3" footer="0.3"/>
  <pageSetup paperSize="9" orientation="portrait" verticalDpi="0" r:id="rId1"/>
  <drawing r:id="rId2"/>
  <legacy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F2" sqref="F2"/>
    </sheetView>
  </sheetViews>
  <sheetFormatPr baseColWidth="10" defaultRowHeight="12.75" x14ac:dyDescent="0.2"/>
  <cols>
    <col min="1" max="1" width="41.42578125" customWidth="1"/>
    <col min="6" max="6" width="12.5703125" customWidth="1"/>
  </cols>
  <sheetData>
    <row r="1" spans="1:7" ht="60" x14ac:dyDescent="0.2">
      <c r="A1" s="130" t="s">
        <v>166</v>
      </c>
      <c r="B1" s="131" t="s">
        <v>157</v>
      </c>
      <c r="C1" s="132" t="s">
        <v>161</v>
      </c>
      <c r="D1" s="131" t="s">
        <v>167</v>
      </c>
      <c r="E1" s="133" t="s">
        <v>155</v>
      </c>
      <c r="F1" s="131" t="s">
        <v>408</v>
      </c>
      <c r="G1" s="134" t="s">
        <v>154</v>
      </c>
    </row>
    <row r="2" spans="1:7" ht="15" x14ac:dyDescent="0.25">
      <c r="A2" s="135" t="s">
        <v>6</v>
      </c>
      <c r="B2" s="136">
        <v>81.507651182199183</v>
      </c>
      <c r="C2" s="137">
        <v>7.9211340203555549</v>
      </c>
      <c r="D2" s="136">
        <v>15.177493746963988</v>
      </c>
      <c r="E2" s="137">
        <v>1.4749898975013793</v>
      </c>
      <c r="F2" s="464">
        <v>60665.914116408763</v>
      </c>
      <c r="G2" s="465">
        <v>5895.6776353334744</v>
      </c>
    </row>
    <row r="3" spans="1:7" ht="15" x14ac:dyDescent="0.25">
      <c r="A3" s="138" t="s">
        <v>7</v>
      </c>
      <c r="B3" s="139">
        <v>36.948675988334998</v>
      </c>
      <c r="C3" s="140">
        <v>18.521282006149889</v>
      </c>
      <c r="D3" s="139">
        <v>6.8801921124924528</v>
      </c>
      <c r="E3" s="140">
        <v>3.4488374742356549</v>
      </c>
      <c r="F3" s="466">
        <v>27500.794977059559</v>
      </c>
      <c r="G3" s="467">
        <v>13785.337783801415</v>
      </c>
    </row>
    <row r="4" spans="1:7" ht="15" x14ac:dyDescent="0.25">
      <c r="A4" s="138" t="s">
        <v>8</v>
      </c>
      <c r="B4" s="139">
        <v>13.96878261052797</v>
      </c>
      <c r="C4" s="140">
        <v>6.2649666120224348</v>
      </c>
      <c r="D4" s="139">
        <v>2.6011191299092378</v>
      </c>
      <c r="E4" s="140">
        <v>1.1665958986642353</v>
      </c>
      <c r="F4" s="466">
        <v>10396.92536675806</v>
      </c>
      <c r="G4" s="467">
        <v>4662.9969200992828</v>
      </c>
    </row>
    <row r="5" spans="1:7" ht="30" x14ac:dyDescent="0.25">
      <c r="A5" s="141" t="s">
        <v>9</v>
      </c>
      <c r="B5" s="139">
        <v>0.30251435999776932</v>
      </c>
      <c r="C5" s="140">
        <v>0.3540117332811325</v>
      </c>
      <c r="D5" s="139">
        <v>5.6331028322353309E-2</v>
      </c>
      <c r="E5" s="140">
        <v>6.5920325151017325E-2</v>
      </c>
      <c r="F5" s="466">
        <v>225.16058206095232</v>
      </c>
      <c r="G5" s="467">
        <v>263.4899312633429</v>
      </c>
    </row>
    <row r="6" spans="1:7" ht="15" x14ac:dyDescent="0.25">
      <c r="A6" s="142" t="s">
        <v>10</v>
      </c>
      <c r="B6" s="143">
        <v>0.1552849593661782</v>
      </c>
      <c r="C6" s="144">
        <v>0.23576112380945011</v>
      </c>
      <c r="D6" s="145">
        <v>2.8915524685030388E-2</v>
      </c>
      <c r="E6" s="146">
        <v>4.3900945868215677E-2</v>
      </c>
      <c r="F6" s="468">
        <v>115.57815581533993</v>
      </c>
      <c r="G6" s="469">
        <v>175.47633727096945</v>
      </c>
    </row>
    <row r="7" spans="1:7" ht="15" x14ac:dyDescent="0.25">
      <c r="A7" s="138" t="s">
        <v>11</v>
      </c>
      <c r="B7" s="139">
        <v>30.132393263972261</v>
      </c>
      <c r="C7" s="140">
        <v>19.17152692542313</v>
      </c>
      <c r="D7" s="139">
        <v>5.6109359515549144</v>
      </c>
      <c r="E7" s="140">
        <v>3.5699192138407341</v>
      </c>
      <c r="F7" s="466">
        <v>22427.455034714854</v>
      </c>
      <c r="G7" s="467">
        <v>14269.313237088387</v>
      </c>
    </row>
    <row r="8" spans="1:7" ht="15" x14ac:dyDescent="0.25">
      <c r="A8" s="135" t="s">
        <v>12</v>
      </c>
      <c r="B8" s="136">
        <v>2.8952682361385271</v>
      </c>
      <c r="C8" s="137">
        <v>4.4077564499065476</v>
      </c>
      <c r="D8" s="136">
        <v>0.53912626498765848</v>
      </c>
      <c r="E8" s="137">
        <v>0.82076584205639724</v>
      </c>
      <c r="F8" s="464">
        <v>2154.9399548383244</v>
      </c>
      <c r="G8" s="465">
        <v>3280.6806521554659</v>
      </c>
    </row>
    <row r="9" spans="1:7" ht="15" x14ac:dyDescent="0.25">
      <c r="A9" s="147" t="s">
        <v>13</v>
      </c>
      <c r="B9" s="148">
        <v>0.77464579444115689</v>
      </c>
      <c r="C9" s="149">
        <v>1.057110802667633</v>
      </c>
      <c r="D9" s="148">
        <v>0.14424635639372113</v>
      </c>
      <c r="E9" s="149">
        <v>0.19684400623287823</v>
      </c>
      <c r="F9" s="470">
        <v>576.56667263241934</v>
      </c>
      <c r="G9" s="471">
        <v>786.80457890765865</v>
      </c>
    </row>
    <row r="10" spans="1:7" ht="15" x14ac:dyDescent="0.25">
      <c r="A10" s="147" t="s">
        <v>14</v>
      </c>
      <c r="B10" s="148">
        <v>0.42273814632661172</v>
      </c>
      <c r="C10" s="149">
        <v>0.36523259313693901</v>
      </c>
      <c r="D10" s="148">
        <v>7.8717831754628431E-2</v>
      </c>
      <c r="E10" s="149">
        <v>6.8009755134913794E-2</v>
      </c>
      <c r="F10" s="470">
        <v>314.64280600421677</v>
      </c>
      <c r="G10" s="471">
        <v>271.84158550010835</v>
      </c>
    </row>
    <row r="11" spans="1:7" ht="15" x14ac:dyDescent="0.25">
      <c r="A11" s="147" t="s">
        <v>15</v>
      </c>
      <c r="B11" s="148">
        <v>1.8491945095327781E-4</v>
      </c>
      <c r="C11" s="149">
        <v>3.624421238684244E-4</v>
      </c>
      <c r="D11" s="148">
        <v>3.4433746646208558E-5</v>
      </c>
      <c r="E11" s="149">
        <v>6.7490143426568764E-5</v>
      </c>
      <c r="F11" s="470">
        <v>0.13763502404097042</v>
      </c>
      <c r="G11" s="471">
        <v>0.26976464712030196</v>
      </c>
    </row>
    <row r="12" spans="1:7" ht="15" x14ac:dyDescent="0.25">
      <c r="A12" s="147" t="s">
        <v>16</v>
      </c>
      <c r="B12" s="148">
        <v>5.6949819564928533E-2</v>
      </c>
      <c r="C12" s="149">
        <v>9.7699023564064569E-2</v>
      </c>
      <c r="D12" s="150">
        <v>1.0604593774948585E-2</v>
      </c>
      <c r="E12" s="151">
        <v>1.8192480064398154E-2</v>
      </c>
      <c r="F12" s="470">
        <v>42.387589539881915</v>
      </c>
      <c r="G12" s="471">
        <v>72.717106760266475</v>
      </c>
    </row>
    <row r="13" spans="1:7" ht="15" x14ac:dyDescent="0.25">
      <c r="A13" s="147" t="s">
        <v>17</v>
      </c>
      <c r="B13" s="148">
        <v>1.640749556354876</v>
      </c>
      <c r="C13" s="149">
        <v>3.093529921275934</v>
      </c>
      <c r="D13" s="148">
        <v>0.30552304931771401</v>
      </c>
      <c r="E13" s="149">
        <v>0.57604446153474187</v>
      </c>
      <c r="F13" s="470">
        <v>1221.2052516377646</v>
      </c>
      <c r="G13" s="471">
        <v>2302.5055660253533</v>
      </c>
    </row>
    <row r="14" spans="1:7" ht="15" x14ac:dyDescent="0.25">
      <c r="A14" s="135" t="s">
        <v>18</v>
      </c>
      <c r="B14" s="136">
        <v>0.1291852399349199</v>
      </c>
      <c r="C14" s="137">
        <v>0.16549124688177599</v>
      </c>
      <c r="D14" s="152">
        <v>2.4055510652974097E-2</v>
      </c>
      <c r="E14" s="153">
        <v>3.0816031725791889E-2</v>
      </c>
      <c r="F14" s="464">
        <v>96.152208502250375</v>
      </c>
      <c r="G14" s="465">
        <v>123.17466673042631</v>
      </c>
    </row>
    <row r="15" spans="1:7" ht="15" x14ac:dyDescent="0.25">
      <c r="A15" s="147" t="s">
        <v>19</v>
      </c>
      <c r="B15" s="148">
        <v>0.11570100231988389</v>
      </c>
      <c r="C15" s="149">
        <v>0.16788258005352491</v>
      </c>
      <c r="D15" s="150">
        <v>2.1544618373336408E-2</v>
      </c>
      <c r="E15" s="151">
        <v>3.126132052671679E-2</v>
      </c>
      <c r="F15" s="470">
        <v>86.115928604423104</v>
      </c>
      <c r="G15" s="471">
        <v>124.95452924292528</v>
      </c>
    </row>
    <row r="16" spans="1:7" ht="15" x14ac:dyDescent="0.25">
      <c r="A16" s="147" t="s">
        <v>20</v>
      </c>
      <c r="B16" s="154">
        <v>3.0819908492212971E-4</v>
      </c>
      <c r="C16" s="155">
        <v>6.0407020644737412E-4</v>
      </c>
      <c r="D16" s="154">
        <v>5.7389577743680929E-5</v>
      </c>
      <c r="E16" s="156">
        <v>1.1248357237761461E-4</v>
      </c>
      <c r="F16" s="470">
        <v>0.22939170673495071</v>
      </c>
      <c r="G16" s="471">
        <v>0.44960774520050334</v>
      </c>
    </row>
    <row r="17" spans="1:7" ht="15" x14ac:dyDescent="0.25">
      <c r="A17" s="147" t="s">
        <v>21</v>
      </c>
      <c r="B17" s="157">
        <v>1.3176038530113921E-2</v>
      </c>
      <c r="C17" s="155">
        <v>1.6546158162020309E-2</v>
      </c>
      <c r="D17" s="154">
        <v>2.4535027018940153E-3</v>
      </c>
      <c r="E17" s="156">
        <v>3.0810507774169009E-3</v>
      </c>
      <c r="F17" s="470">
        <v>9.8068881910923551</v>
      </c>
      <c r="G17" s="471">
        <v>12.315258696018732</v>
      </c>
    </row>
    <row r="18" spans="1:7" ht="15.75" x14ac:dyDescent="0.25">
      <c r="A18" s="158" t="s">
        <v>22</v>
      </c>
      <c r="B18" s="159">
        <v>0.13711240168665451</v>
      </c>
      <c r="C18" s="159">
        <v>0.16704131105161971</v>
      </c>
      <c r="D18" s="160">
        <v>2.5531622970935239E-2</v>
      </c>
      <c r="E18" s="160">
        <v>3.1104668300444328E-2</v>
      </c>
      <c r="F18" s="472">
        <v>102.05237256099142</v>
      </c>
      <c r="G18" s="473">
        <v>124.3283751055144</v>
      </c>
    </row>
    <row r="19" spans="1:7" x14ac:dyDescent="0.2">
      <c r="A19" s="161" t="s">
        <v>26</v>
      </c>
      <c r="B19" s="162">
        <v>7.1383680295634584E-3</v>
      </c>
      <c r="C19" s="163">
        <v>9.3656291995351769E-3</v>
      </c>
      <c r="D19" s="164">
        <v>1.3292314839258726E-3</v>
      </c>
      <c r="E19" s="165">
        <v>1.7439685299552902E-3</v>
      </c>
      <c r="F19" s="474">
        <v>5.3130671235363947</v>
      </c>
      <c r="G19" s="475">
        <v>6.9708113094199602</v>
      </c>
    </row>
    <row r="20" spans="1:7" ht="15" x14ac:dyDescent="0.25">
      <c r="A20" s="135" t="s">
        <v>27</v>
      </c>
      <c r="B20" s="136">
        <v>4.4073855027144742</v>
      </c>
      <c r="C20" s="137">
        <v>3.4547533160263648</v>
      </c>
      <c r="D20" s="136">
        <v>0.82069676818901804</v>
      </c>
      <c r="E20" s="137">
        <v>0.6433076660997521</v>
      </c>
      <c r="F20" s="464">
        <v>3280.4045572101486</v>
      </c>
      <c r="G20" s="465">
        <v>2571.3631165120141</v>
      </c>
    </row>
    <row r="21" spans="1:7" ht="15" x14ac:dyDescent="0.25">
      <c r="A21" s="138" t="s">
        <v>30</v>
      </c>
      <c r="B21" s="139">
        <v>4.3933214756891816</v>
      </c>
      <c r="C21" s="140">
        <v>3.4446658493337039</v>
      </c>
      <c r="D21" s="139">
        <v>0.81807791365036431</v>
      </c>
      <c r="E21" s="140">
        <v>0.64142928461740101</v>
      </c>
      <c r="F21" s="466">
        <v>3269.9367416950136</v>
      </c>
      <c r="G21" s="467">
        <v>2563.8550435991883</v>
      </c>
    </row>
    <row r="22" spans="1:7" ht="15" x14ac:dyDescent="0.25">
      <c r="A22" s="135" t="s">
        <v>31</v>
      </c>
      <c r="B22" s="136">
        <v>3.1050213038542021</v>
      </c>
      <c r="C22" s="137">
        <v>2.3297303523643822</v>
      </c>
      <c r="D22" s="136">
        <v>0.57818426540218193</v>
      </c>
      <c r="E22" s="137">
        <v>0.4338177746783719</v>
      </c>
      <c r="F22" s="464">
        <v>2311.0585695588948</v>
      </c>
      <c r="G22" s="465">
        <v>1734.0117083608855</v>
      </c>
    </row>
    <row r="23" spans="1:7" x14ac:dyDescent="0.2">
      <c r="A23" s="166" t="s">
        <v>33</v>
      </c>
      <c r="B23" s="167">
        <v>1.0845265272964499</v>
      </c>
      <c r="C23" s="149">
        <v>0.49972828866006869</v>
      </c>
      <c r="D23" s="167">
        <v>0.20194907285039393</v>
      </c>
      <c r="E23" s="149">
        <v>9.3054122727261795E-2</v>
      </c>
      <c r="F23" s="476">
        <v>807.21002516512806</v>
      </c>
      <c r="G23" s="471">
        <v>371.94635106860505</v>
      </c>
    </row>
    <row r="24" spans="1:7" x14ac:dyDescent="0.2">
      <c r="A24" s="168" t="s">
        <v>39</v>
      </c>
      <c r="B24" s="169">
        <v>0.1404791681896996</v>
      </c>
      <c r="C24" s="170">
        <v>0.13838013103448779</v>
      </c>
      <c r="D24" s="162">
        <v>2.6158546662224412E-2</v>
      </c>
      <c r="E24" s="163">
        <v>2.5767686137650368E-2</v>
      </c>
      <c r="F24" s="474">
        <v>104.55824734159533</v>
      </c>
      <c r="G24" s="475">
        <v>102.99593992703642</v>
      </c>
    </row>
    <row r="25" spans="1:7" x14ac:dyDescent="0.2">
      <c r="A25" s="168" t="s">
        <v>44</v>
      </c>
      <c r="B25" s="169">
        <v>0.1263123856911065</v>
      </c>
      <c r="C25" s="170">
        <v>0.2248077587956413</v>
      </c>
      <c r="D25" s="162">
        <v>2.3520558084853236E-2</v>
      </c>
      <c r="E25" s="163">
        <v>4.1861325947949779E-2</v>
      </c>
      <c r="F25" s="474">
        <v>94.013951218470297</v>
      </c>
      <c r="G25" s="475">
        <v>167.32377868811921</v>
      </c>
    </row>
    <row r="26" spans="1:7" x14ac:dyDescent="0.2">
      <c r="A26" s="168" t="s">
        <v>48</v>
      </c>
      <c r="B26" s="169">
        <v>8.90606846432314E-2</v>
      </c>
      <c r="C26" s="170">
        <v>8.075462021510639E-2</v>
      </c>
      <c r="D26" s="162">
        <v>1.6583939846964747E-2</v>
      </c>
      <c r="E26" s="163">
        <v>1.5037272275377564E-2</v>
      </c>
      <c r="F26" s="474">
        <v>66.287615547125654</v>
      </c>
      <c r="G26" s="475">
        <v>60.105435298603936</v>
      </c>
    </row>
    <row r="27" spans="1:7" ht="15" x14ac:dyDescent="0.25">
      <c r="A27" s="135" t="s">
        <v>53</v>
      </c>
      <c r="B27" s="136">
        <v>0.76143982572924085</v>
      </c>
      <c r="C27" s="137">
        <v>0.55857578904167149</v>
      </c>
      <c r="D27" s="136">
        <v>0.14178728040955782</v>
      </c>
      <c r="E27" s="137">
        <v>0.10401208257657345</v>
      </c>
      <c r="F27" s="464">
        <v>566.73750749171109</v>
      </c>
      <c r="G27" s="465">
        <v>415.74637907009065</v>
      </c>
    </row>
    <row r="28" spans="1:7" ht="15" x14ac:dyDescent="0.25">
      <c r="A28" s="142" t="s">
        <v>55</v>
      </c>
      <c r="B28" s="143">
        <v>0.7605152284744745</v>
      </c>
      <c r="C28" s="144">
        <v>0.55910340604004272</v>
      </c>
      <c r="D28" s="143">
        <v>0.14161511167632676</v>
      </c>
      <c r="E28" s="144">
        <v>0.10411032984020356</v>
      </c>
      <c r="F28" s="468">
        <v>566.04933237150624</v>
      </c>
      <c r="G28" s="469">
        <v>416.13908290887497</v>
      </c>
    </row>
    <row r="29" spans="1:7" x14ac:dyDescent="0.2">
      <c r="A29" s="168" t="s">
        <v>56</v>
      </c>
      <c r="B29" s="162">
        <v>2.6932781599023091E-2</v>
      </c>
      <c r="C29" s="163">
        <v>3.1263131283867367E-2</v>
      </c>
      <c r="D29" s="162">
        <v>5.0151380683730621E-3</v>
      </c>
      <c r="E29" s="163">
        <v>5.8214900403735165E-3</v>
      </c>
      <c r="F29" s="474">
        <v>20.04599312707424</v>
      </c>
      <c r="G29" s="475">
        <v>23.269060143047263</v>
      </c>
    </row>
    <row r="30" spans="1:7" ht="15" x14ac:dyDescent="0.25">
      <c r="A30" s="135" t="s">
        <v>152</v>
      </c>
      <c r="B30" s="136">
        <v>6.667012919590185</v>
      </c>
      <c r="C30" s="137">
        <v>6.007264548604752</v>
      </c>
      <c r="D30" s="136">
        <v>1.2414607147961487</v>
      </c>
      <c r="E30" s="137">
        <v>1.1186093428087793</v>
      </c>
      <c r="F30" s="464">
        <v>4962.2388490711128</v>
      </c>
      <c r="G30" s="465">
        <v>4471.1900035685694</v>
      </c>
    </row>
    <row r="31" spans="1:7" ht="15.75" thickBot="1" x14ac:dyDescent="0.3">
      <c r="A31" s="171" t="s">
        <v>62</v>
      </c>
      <c r="B31" s="172">
        <v>100.00000000000003</v>
      </c>
      <c r="C31" s="173"/>
      <c r="D31" s="174">
        <v>18.620943588518802</v>
      </c>
      <c r="E31" s="173"/>
      <c r="F31" s="477">
        <v>74429.717010000008</v>
      </c>
      <c r="G31" s="47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2" sqref="D2"/>
    </sheetView>
  </sheetViews>
  <sheetFormatPr baseColWidth="10" defaultRowHeight="12.75" x14ac:dyDescent="0.2"/>
  <cols>
    <col min="1" max="1" width="32.85546875" customWidth="1"/>
    <col min="2" max="4" width="20.7109375" customWidth="1"/>
  </cols>
  <sheetData>
    <row r="1" spans="1:4" ht="45" x14ac:dyDescent="0.25">
      <c r="A1" s="175"/>
      <c r="B1" s="1" t="s">
        <v>168</v>
      </c>
      <c r="C1" s="1" t="s">
        <v>3</v>
      </c>
      <c r="D1" s="1" t="s">
        <v>408</v>
      </c>
    </row>
    <row r="2" spans="1:4" ht="20.100000000000001" customHeight="1" x14ac:dyDescent="0.2">
      <c r="A2" s="176" t="s">
        <v>169</v>
      </c>
      <c r="B2" s="114">
        <v>92.412700618112353</v>
      </c>
      <c r="C2" s="114">
        <v>17.208116850725467</v>
      </c>
      <c r="D2" s="115">
        <v>68782.511551359537</v>
      </c>
    </row>
    <row r="3" spans="1:4" ht="20.100000000000001" customHeight="1" x14ac:dyDescent="0.2">
      <c r="A3" s="177" t="s">
        <v>170</v>
      </c>
      <c r="B3" s="178">
        <v>30.132393263972261</v>
      </c>
      <c r="C3" s="178">
        <v>5.6109359515549144</v>
      </c>
      <c r="D3" s="179">
        <v>22427.455034714854</v>
      </c>
    </row>
    <row r="4" spans="1:4" ht="20.100000000000001" customHeight="1" x14ac:dyDescent="0.2">
      <c r="A4" s="177" t="s">
        <v>171</v>
      </c>
      <c r="B4" s="180">
        <v>14.271296970525739</v>
      </c>
      <c r="C4" s="180">
        <v>2.6574501582315913</v>
      </c>
      <c r="D4" s="181">
        <v>10622.085948819011</v>
      </c>
    </row>
    <row r="5" spans="1:4" ht="20.100000000000001" customHeight="1" x14ac:dyDescent="0.2">
      <c r="A5" s="177" t="s">
        <v>172</v>
      </c>
      <c r="B5" s="180">
        <v>6.667012919590185</v>
      </c>
      <c r="C5" s="180">
        <v>1.2414607147961487</v>
      </c>
      <c r="D5" s="181">
        <v>4962.2388490711128</v>
      </c>
    </row>
    <row r="6" spans="1:4" ht="31.5" x14ac:dyDescent="0.2">
      <c r="A6" s="176" t="s">
        <v>173</v>
      </c>
      <c r="B6" s="116">
        <v>4.1089800033698962</v>
      </c>
      <c r="C6" s="116">
        <v>0.76513084849102642</v>
      </c>
      <c r="D6" s="101">
        <v>3058.3021885057019</v>
      </c>
    </row>
    <row r="7" spans="1:4" ht="21" customHeight="1" x14ac:dyDescent="0.2">
      <c r="A7" s="182" t="s">
        <v>184</v>
      </c>
      <c r="B7" s="116">
        <v>3.4783193785177389</v>
      </c>
      <c r="C7" s="116">
        <v>0.64769588930230593</v>
      </c>
      <c r="D7" s="101">
        <v>2588.9032701347433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5"/>
  <sheetViews>
    <sheetView workbookViewId="0">
      <selection activeCell="B20" sqref="B20"/>
    </sheetView>
  </sheetViews>
  <sheetFormatPr baseColWidth="10" defaultRowHeight="12.75" x14ac:dyDescent="0.2"/>
  <cols>
    <col min="1" max="1" width="25.28515625" customWidth="1"/>
    <col min="2" max="2" width="19.7109375" customWidth="1"/>
    <col min="3" max="6" width="20.7109375" customWidth="1"/>
  </cols>
  <sheetData>
    <row r="4" spans="1:6" ht="15" x14ac:dyDescent="0.25">
      <c r="A4" s="258"/>
      <c r="B4" s="258"/>
      <c r="C4" s="258"/>
      <c r="D4" s="258"/>
      <c r="E4" s="258"/>
      <c r="F4" s="258"/>
    </row>
    <row r="5" spans="1:6" ht="40.5" customHeight="1" x14ac:dyDescent="0.25">
      <c r="A5" s="415"/>
      <c r="B5" s="416" t="s">
        <v>289</v>
      </c>
      <c r="C5" s="258"/>
      <c r="D5" s="258"/>
      <c r="E5" s="258"/>
      <c r="F5" s="258"/>
    </row>
    <row r="6" spans="1:6" ht="15" x14ac:dyDescent="0.25">
      <c r="A6" s="345" t="s">
        <v>6</v>
      </c>
      <c r="B6" s="414">
        <v>25.317443325391743</v>
      </c>
      <c r="C6" s="258"/>
      <c r="D6" s="258"/>
      <c r="E6" s="258"/>
      <c r="F6" s="258"/>
    </row>
    <row r="7" spans="1:6" ht="15" x14ac:dyDescent="0.25">
      <c r="A7" s="345" t="s">
        <v>12</v>
      </c>
      <c r="B7" s="414">
        <v>13.354509684990214</v>
      </c>
      <c r="C7" s="258"/>
      <c r="D7" s="258"/>
      <c r="E7" s="258"/>
      <c r="F7" s="258"/>
    </row>
    <row r="8" spans="1:6" ht="15" x14ac:dyDescent="0.25">
      <c r="A8" s="345" t="s">
        <v>18</v>
      </c>
      <c r="B8" s="414">
        <v>8.6010591046123199</v>
      </c>
      <c r="C8" s="258"/>
      <c r="D8" s="258"/>
      <c r="E8" s="258"/>
      <c r="F8" s="258"/>
    </row>
    <row r="9" spans="1:6" ht="15" x14ac:dyDescent="0.25">
      <c r="A9" s="345" t="s">
        <v>22</v>
      </c>
      <c r="B9" s="414">
        <v>2.1065000247606074</v>
      </c>
      <c r="C9" s="258"/>
      <c r="D9" s="258"/>
      <c r="E9" s="258"/>
      <c r="F9" s="258"/>
    </row>
    <row r="10" spans="1:6" ht="15" x14ac:dyDescent="0.25">
      <c r="A10" s="345" t="s">
        <v>26</v>
      </c>
      <c r="B10" s="414">
        <v>2.367590153730502</v>
      </c>
      <c r="C10" s="258"/>
      <c r="D10" s="258"/>
      <c r="E10" s="258"/>
      <c r="F10" s="258"/>
    </row>
    <row r="11" spans="1:6" ht="15" x14ac:dyDescent="0.25">
      <c r="A11" s="345" t="s">
        <v>27</v>
      </c>
      <c r="B11" s="414">
        <v>10.658730930672595</v>
      </c>
      <c r="C11" s="258"/>
      <c r="D11" s="258"/>
      <c r="E11" s="258"/>
      <c r="F11" s="258"/>
    </row>
    <row r="12" spans="1:6" ht="15" x14ac:dyDescent="0.25">
      <c r="A12" s="345" t="s">
        <v>31</v>
      </c>
      <c r="B12" s="414">
        <v>13.40554843100122</v>
      </c>
      <c r="C12" s="258"/>
      <c r="D12" s="258"/>
      <c r="E12" s="258"/>
      <c r="F12" s="258"/>
    </row>
    <row r="13" spans="1:6" ht="15" x14ac:dyDescent="0.25">
      <c r="A13" s="345" t="s">
        <v>39</v>
      </c>
      <c r="B13" s="414">
        <v>3.6464782751742346</v>
      </c>
      <c r="C13" s="258"/>
      <c r="D13" s="258"/>
      <c r="E13" s="258"/>
      <c r="F13" s="258"/>
    </row>
    <row r="14" spans="1:6" ht="15" x14ac:dyDescent="0.25">
      <c r="A14" s="345" t="s">
        <v>44</v>
      </c>
      <c r="B14" s="414">
        <v>13.033524342145014</v>
      </c>
      <c r="C14" s="258"/>
      <c r="D14" s="258"/>
      <c r="E14" s="258"/>
      <c r="F14" s="258"/>
    </row>
    <row r="15" spans="1:6" ht="15" x14ac:dyDescent="0.25">
      <c r="A15" s="345" t="s">
        <v>48</v>
      </c>
      <c r="B15" s="414">
        <v>3.3395593029699397</v>
      </c>
      <c r="C15" s="258"/>
      <c r="D15" s="258"/>
      <c r="E15" s="258"/>
      <c r="F15" s="258"/>
    </row>
    <row r="16" spans="1:6" ht="15" x14ac:dyDescent="0.25">
      <c r="A16" s="345" t="s">
        <v>53</v>
      </c>
      <c r="B16" s="414">
        <v>3.3182242168338676</v>
      </c>
      <c r="C16" s="258"/>
      <c r="D16" s="258"/>
      <c r="E16" s="258"/>
      <c r="F16" s="258"/>
    </row>
    <row r="17" spans="1:6" ht="15" x14ac:dyDescent="0.25">
      <c r="A17" s="345" t="s">
        <v>56</v>
      </c>
      <c r="B17" s="414">
        <v>0.54682634837658428</v>
      </c>
      <c r="C17" s="258"/>
      <c r="D17" s="258"/>
      <c r="E17" s="258"/>
      <c r="F17" s="258"/>
    </row>
    <row r="18" spans="1:6" ht="15" x14ac:dyDescent="0.25">
      <c r="A18" s="345" t="s">
        <v>152</v>
      </c>
      <c r="B18" s="322">
        <v>0.30400585934115498</v>
      </c>
      <c r="C18" s="258"/>
      <c r="D18" s="258"/>
      <c r="E18" s="258"/>
      <c r="F18" s="258"/>
    </row>
    <row r="19" spans="1:6" ht="15" x14ac:dyDescent="0.25">
      <c r="A19" s="258"/>
      <c r="B19" s="281">
        <f>SUM(B6:B18)</f>
        <v>100</v>
      </c>
      <c r="C19" s="258"/>
      <c r="D19" s="258"/>
      <c r="E19" s="258"/>
      <c r="F19" s="258"/>
    </row>
    <row r="20" spans="1:6" ht="15" x14ac:dyDescent="0.25">
      <c r="A20" s="258"/>
      <c r="B20" s="258"/>
      <c r="C20" s="258"/>
      <c r="D20" s="258"/>
      <c r="E20" s="258"/>
      <c r="F20" s="258"/>
    </row>
    <row r="21" spans="1:6" ht="15" x14ac:dyDescent="0.25">
      <c r="A21" s="258"/>
      <c r="B21" s="258"/>
      <c r="C21" s="258"/>
      <c r="D21" s="258"/>
      <c r="E21" s="258"/>
      <c r="F21" s="258"/>
    </row>
    <row r="22" spans="1:6" ht="15" x14ac:dyDescent="0.25">
      <c r="A22" s="258"/>
      <c r="B22" s="258"/>
      <c r="C22" s="258"/>
      <c r="D22" s="258"/>
      <c r="E22" s="258"/>
      <c r="F22" s="258"/>
    </row>
    <row r="23" spans="1:6" ht="15" x14ac:dyDescent="0.25">
      <c r="A23" s="258"/>
      <c r="B23" s="258"/>
      <c r="C23" s="258"/>
      <c r="D23" s="258"/>
      <c r="E23" s="258"/>
      <c r="F23" s="258"/>
    </row>
    <row r="24" spans="1:6" ht="15" x14ac:dyDescent="0.25">
      <c r="A24" s="258"/>
      <c r="B24" s="258"/>
      <c r="C24" s="258"/>
      <c r="D24" s="258"/>
      <c r="E24" s="258"/>
      <c r="F24" s="258"/>
    </row>
    <row r="25" spans="1:6" ht="15" x14ac:dyDescent="0.25">
      <c r="A25" s="258"/>
      <c r="B25" s="258"/>
      <c r="C25" s="258"/>
      <c r="D25" s="258"/>
      <c r="E25" s="258"/>
      <c r="F25" s="258"/>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activeCell="E2" sqref="E2"/>
    </sheetView>
  </sheetViews>
  <sheetFormatPr baseColWidth="10" defaultRowHeight="12.75" x14ac:dyDescent="0.2"/>
  <cols>
    <col min="1" max="1" width="41.42578125" customWidth="1"/>
    <col min="2" max="7" width="15.7109375" customWidth="1"/>
  </cols>
  <sheetData>
    <row r="1" spans="1:7" ht="60" x14ac:dyDescent="0.2">
      <c r="A1" s="183" t="s">
        <v>174</v>
      </c>
      <c r="B1" s="72" t="s">
        <v>175</v>
      </c>
      <c r="C1" s="72" t="s">
        <v>176</v>
      </c>
      <c r="D1" s="72" t="s">
        <v>177</v>
      </c>
      <c r="E1" s="72" t="s">
        <v>409</v>
      </c>
      <c r="F1" s="72" t="s">
        <v>410</v>
      </c>
      <c r="G1" s="73" t="s">
        <v>411</v>
      </c>
    </row>
    <row r="2" spans="1:7" ht="15" x14ac:dyDescent="0.2">
      <c r="A2" s="184" t="s">
        <v>6</v>
      </c>
      <c r="B2" s="185">
        <f>B3+B4+B5+B6+B7</f>
        <v>83.113615525552603</v>
      </c>
      <c r="C2" s="185">
        <f t="shared" ref="C2:D2" si="0">C3+C4+C5+C6+C7</f>
        <v>1.704432961063209</v>
      </c>
      <c r="D2" s="185">
        <f t="shared" si="0"/>
        <v>84.818048486615822</v>
      </c>
      <c r="E2" s="186">
        <v>5372.3920480670604</v>
      </c>
      <c r="F2" s="186">
        <v>110.1730688597486</v>
      </c>
      <c r="G2" s="187">
        <v>5482.5651169268076</v>
      </c>
    </row>
    <row r="3" spans="1:7" x14ac:dyDescent="0.2">
      <c r="A3" s="188" t="s">
        <v>7</v>
      </c>
      <c r="B3" s="189">
        <v>37.977566193382813</v>
      </c>
      <c r="C3" s="189">
        <v>0.61830213671854917</v>
      </c>
      <c r="D3" s="190">
        <v>38.595868330101361</v>
      </c>
      <c r="E3" s="191">
        <v>2454.8369521903755</v>
      </c>
      <c r="F3" s="191">
        <v>39.966514049534489</v>
      </c>
      <c r="G3" s="192">
        <v>2494.80346623991</v>
      </c>
    </row>
    <row r="4" spans="1:7" x14ac:dyDescent="0.2">
      <c r="A4" s="188" t="s">
        <v>8</v>
      </c>
      <c r="B4" s="189">
        <v>23.055294662671372</v>
      </c>
      <c r="C4" s="189">
        <v>0.43601868957967327</v>
      </c>
      <c r="D4" s="190">
        <v>23.491313352251044</v>
      </c>
      <c r="E4" s="191">
        <v>1490.2742580546051</v>
      </c>
      <c r="F4" s="191">
        <v>28.183870066226216</v>
      </c>
      <c r="G4" s="192">
        <v>1518.4581281208311</v>
      </c>
    </row>
    <row r="5" spans="1:7" ht="25.5" x14ac:dyDescent="0.2">
      <c r="A5" s="188" t="s">
        <v>9</v>
      </c>
      <c r="B5" s="189">
        <v>6.0173182904362221</v>
      </c>
      <c r="C5" s="189">
        <v>0.21366099812407896</v>
      </c>
      <c r="D5" s="190">
        <v>6.2309792885603015</v>
      </c>
      <c r="E5" s="191">
        <v>388.95423727883963</v>
      </c>
      <c r="F5" s="191">
        <v>13.81086167465509</v>
      </c>
      <c r="G5" s="192">
        <v>402.76509895349477</v>
      </c>
    </row>
    <row r="6" spans="1:7" x14ac:dyDescent="0.2">
      <c r="A6" s="188" t="s">
        <v>10</v>
      </c>
      <c r="B6" s="189">
        <v>4.043565722437835</v>
      </c>
      <c r="C6" s="189">
        <v>2.7305198473438919E-2</v>
      </c>
      <c r="D6" s="190">
        <v>4.0708709209112737</v>
      </c>
      <c r="E6" s="191">
        <v>261.37258252690026</v>
      </c>
      <c r="F6" s="191">
        <v>1.7649843557160152</v>
      </c>
      <c r="G6" s="192">
        <v>263.13756688261634</v>
      </c>
    </row>
    <row r="7" spans="1:7" x14ac:dyDescent="0.2">
      <c r="A7" s="188" t="s">
        <v>11</v>
      </c>
      <c r="B7" s="189">
        <v>12.019870656624363</v>
      </c>
      <c r="C7" s="189">
        <v>0.40914593816746875</v>
      </c>
      <c r="D7" s="190">
        <v>12.429016594791833</v>
      </c>
      <c r="E7" s="191">
        <v>776.95401801633955</v>
      </c>
      <c r="F7" s="191">
        <v>26.446838713616792</v>
      </c>
      <c r="G7" s="192">
        <v>803.40085672995633</v>
      </c>
    </row>
    <row r="8" spans="1:7" ht="15" x14ac:dyDescent="0.2">
      <c r="A8" s="193" t="s">
        <v>12</v>
      </c>
      <c r="B8" s="77">
        <f>B9+B10+B11+B12+B13</f>
        <v>21.851668512053138</v>
      </c>
      <c r="C8" s="77">
        <f t="shared" ref="C8:D8" si="1">C9+C10+C11+C12+C13</f>
        <v>22.888372392490052</v>
      </c>
      <c r="D8" s="77">
        <f t="shared" si="1"/>
        <v>44.740040904543193</v>
      </c>
      <c r="E8" s="78">
        <v>1412.4729072225152</v>
      </c>
      <c r="F8" s="78">
        <v>1479.4845472316927</v>
      </c>
      <c r="G8" s="79">
        <v>2891.9574544542079</v>
      </c>
    </row>
    <row r="9" spans="1:7" x14ac:dyDescent="0.2">
      <c r="A9" s="188" t="s">
        <v>13</v>
      </c>
      <c r="B9" s="189">
        <v>3.0983071554498935</v>
      </c>
      <c r="C9" s="189">
        <v>0.53577546575428825</v>
      </c>
      <c r="D9" s="190">
        <v>3.6340826212041817</v>
      </c>
      <c r="E9" s="191">
        <v>200.27188829597733</v>
      </c>
      <c r="F9" s="191">
        <v>34.632061589028389</v>
      </c>
      <c r="G9" s="192">
        <v>234.90394988500574</v>
      </c>
    </row>
    <row r="10" spans="1:7" x14ac:dyDescent="0.2">
      <c r="A10" s="188" t="s">
        <v>14</v>
      </c>
      <c r="B10" s="189">
        <v>3.9988647988498007</v>
      </c>
      <c r="C10" s="189">
        <v>7.2078268659707634</v>
      </c>
      <c r="D10" s="190">
        <v>11.206691664820564</v>
      </c>
      <c r="E10" s="191">
        <v>258.48315358187051</v>
      </c>
      <c r="F10" s="191">
        <v>465.90767943045739</v>
      </c>
      <c r="G10" s="192">
        <v>724.3908330123279</v>
      </c>
    </row>
    <row r="11" spans="1:7" x14ac:dyDescent="0.2">
      <c r="A11" s="188" t="s">
        <v>15</v>
      </c>
      <c r="B11" s="189">
        <v>6.5819993687974527</v>
      </c>
      <c r="C11" s="189">
        <v>10.874196620324872</v>
      </c>
      <c r="D11" s="190">
        <v>17.456195989122325</v>
      </c>
      <c r="E11" s="191">
        <v>425.45473260561465</v>
      </c>
      <c r="F11" s="191">
        <v>702.89864160932996</v>
      </c>
      <c r="G11" s="192">
        <v>1128.3533742149446</v>
      </c>
    </row>
    <row r="12" spans="1:7" x14ac:dyDescent="0.2">
      <c r="A12" s="188" t="s">
        <v>16</v>
      </c>
      <c r="B12" s="189">
        <v>5.2319802303837815</v>
      </c>
      <c r="C12" s="189">
        <v>2.6715234407145481</v>
      </c>
      <c r="D12" s="190">
        <v>7.9035036710983295</v>
      </c>
      <c r="E12" s="191">
        <v>338.1906659651479</v>
      </c>
      <c r="F12" s="191">
        <v>172.68495899696529</v>
      </c>
      <c r="G12" s="192">
        <v>510.87562496211319</v>
      </c>
    </row>
    <row r="13" spans="1:7" x14ac:dyDescent="0.2">
      <c r="A13" s="188" t="s">
        <v>17</v>
      </c>
      <c r="B13" s="189">
        <v>2.9405169585722093</v>
      </c>
      <c r="C13" s="189">
        <v>1.5990499997255789</v>
      </c>
      <c r="D13" s="190">
        <v>4.5395669582977884</v>
      </c>
      <c r="E13" s="191">
        <v>190.07246677390455</v>
      </c>
      <c r="F13" s="191">
        <v>103.36120560591166</v>
      </c>
      <c r="G13" s="192">
        <v>293.43367237981619</v>
      </c>
    </row>
    <row r="14" spans="1:7" ht="15" x14ac:dyDescent="0.25">
      <c r="A14" s="194" t="s">
        <v>31</v>
      </c>
      <c r="B14" s="77">
        <f t="shared" ref="B14:D14" si="2">B15+B16+B17+B18+B19+B20+B21</f>
        <v>37.282010079640486</v>
      </c>
      <c r="C14" s="77">
        <f t="shared" si="2"/>
        <v>7.6290199243239654</v>
      </c>
      <c r="D14" s="77">
        <f t="shared" si="2"/>
        <v>44.911030003964449</v>
      </c>
      <c r="E14" s="78">
        <v>2409.8768080452223</v>
      </c>
      <c r="F14" s="78">
        <v>493.13323354802674</v>
      </c>
      <c r="G14" s="79">
        <v>2903.0100415932488</v>
      </c>
    </row>
    <row r="15" spans="1:7" x14ac:dyDescent="0.2">
      <c r="A15" s="188" t="s">
        <v>32</v>
      </c>
      <c r="B15" s="189">
        <v>5.9443503866593659</v>
      </c>
      <c r="C15" s="189">
        <v>0.14895323859582238</v>
      </c>
      <c r="D15" s="190">
        <v>6.0933036252551886</v>
      </c>
      <c r="E15" s="191">
        <v>384.23765524187621</v>
      </c>
      <c r="F15" s="191">
        <v>9.6282082003760969</v>
      </c>
      <c r="G15" s="192">
        <v>393.86586344225225</v>
      </c>
    </row>
    <row r="16" spans="1:7" x14ac:dyDescent="0.2">
      <c r="A16" s="188" t="s">
        <v>33</v>
      </c>
      <c r="B16" s="189">
        <v>1.986883822076406</v>
      </c>
      <c r="C16" s="189">
        <v>0.15058578943371287</v>
      </c>
      <c r="D16" s="190">
        <v>2.1374696115101188</v>
      </c>
      <c r="E16" s="191">
        <v>128.43044763074516</v>
      </c>
      <c r="F16" s="191">
        <v>9.733734871115761</v>
      </c>
      <c r="G16" s="192">
        <v>138.16418250186092</v>
      </c>
    </row>
    <row r="17" spans="1:7" x14ac:dyDescent="0.2">
      <c r="A17" s="188" t="s">
        <v>34</v>
      </c>
      <c r="B17" s="189">
        <v>9.2944271158616285</v>
      </c>
      <c r="C17" s="189">
        <v>0.82845523364382156</v>
      </c>
      <c r="D17" s="190">
        <v>10.122882349505449</v>
      </c>
      <c r="E17" s="191">
        <v>600.78371050098622</v>
      </c>
      <c r="F17" s="191">
        <v>53.550628032049055</v>
      </c>
      <c r="G17" s="192">
        <v>654.33433853303529</v>
      </c>
    </row>
    <row r="18" spans="1:7" x14ac:dyDescent="0.2">
      <c r="A18" s="188" t="s">
        <v>35</v>
      </c>
      <c r="B18" s="189">
        <v>3.0522893634371413</v>
      </c>
      <c r="C18" s="189">
        <v>3.416310038553183</v>
      </c>
      <c r="D18" s="190">
        <v>6.4685994019903248</v>
      </c>
      <c r="E18" s="191">
        <v>197.29733811769873</v>
      </c>
      <c r="F18" s="191">
        <v>220.82731895127432</v>
      </c>
      <c r="G18" s="192">
        <v>418.12465706897308</v>
      </c>
    </row>
    <row r="19" spans="1:7" x14ac:dyDescent="0.2">
      <c r="A19" s="188" t="s">
        <v>36</v>
      </c>
      <c r="B19" s="189">
        <v>1.4154794191678921</v>
      </c>
      <c r="C19" s="189">
        <v>1.2583122838725538</v>
      </c>
      <c r="D19" s="190">
        <v>2.6737917030404459</v>
      </c>
      <c r="E19" s="191">
        <v>91.495362434356139</v>
      </c>
      <c r="F19" s="191">
        <v>81.336215072771765</v>
      </c>
      <c r="G19" s="192">
        <v>172.83157750712789</v>
      </c>
    </row>
    <row r="20" spans="1:7" x14ac:dyDescent="0.2">
      <c r="A20" s="188" t="s">
        <v>37</v>
      </c>
      <c r="B20" s="189">
        <v>10.165575383387193</v>
      </c>
      <c r="C20" s="189">
        <v>1.1629703503136917</v>
      </c>
      <c r="D20" s="190">
        <v>11.328545733700885</v>
      </c>
      <c r="E20" s="191">
        <v>657.09397922829078</v>
      </c>
      <c r="F20" s="191">
        <v>75.173395148983317</v>
      </c>
      <c r="G20" s="192">
        <v>732.26737437727411</v>
      </c>
    </row>
    <row r="21" spans="1:7" x14ac:dyDescent="0.2">
      <c r="A21" s="188" t="s">
        <v>38</v>
      </c>
      <c r="B21" s="189">
        <v>5.4230045890508629</v>
      </c>
      <c r="C21" s="189">
        <v>0.66343298991118027</v>
      </c>
      <c r="D21" s="190">
        <v>6.0864375789620428</v>
      </c>
      <c r="E21" s="191">
        <v>350.53831489126907</v>
      </c>
      <c r="F21" s="191">
        <v>42.88373327145645</v>
      </c>
      <c r="G21" s="192">
        <v>393.4220481627255</v>
      </c>
    </row>
    <row r="22" spans="1:7" ht="15" x14ac:dyDescent="0.25">
      <c r="A22" s="194" t="s">
        <v>44</v>
      </c>
      <c r="B22" s="77">
        <f>B23+B24+B25</f>
        <v>13.570050505109657</v>
      </c>
      <c r="C22" s="77">
        <f t="shared" ref="C22:D22" si="3">C23+C24+C25</f>
        <v>30.094631010927191</v>
      </c>
      <c r="D22" s="77">
        <f t="shared" si="3"/>
        <v>43.664681516036843</v>
      </c>
      <c r="E22" s="78">
        <v>877.15629941650036</v>
      </c>
      <c r="F22" s="78">
        <v>1945.2908565012469</v>
      </c>
      <c r="G22" s="79">
        <v>2822.4471559177473</v>
      </c>
    </row>
    <row r="23" spans="1:7" x14ac:dyDescent="0.2">
      <c r="A23" s="188" t="s">
        <v>45</v>
      </c>
      <c r="B23" s="189">
        <v>6.7641960683042335</v>
      </c>
      <c r="C23" s="189">
        <v>9.7983169949160729</v>
      </c>
      <c r="D23" s="190">
        <v>16.562513063220308</v>
      </c>
      <c r="E23" s="191">
        <v>437.23176929719443</v>
      </c>
      <c r="F23" s="191">
        <v>633.35471541054039</v>
      </c>
      <c r="G23" s="192">
        <v>1070.5864847077348</v>
      </c>
    </row>
    <row r="24" spans="1:7" x14ac:dyDescent="0.2">
      <c r="A24" s="188" t="s">
        <v>46</v>
      </c>
      <c r="B24" s="189">
        <v>6.1287092231017706</v>
      </c>
      <c r="C24" s="189">
        <v>19.722445963767594</v>
      </c>
      <c r="D24" s="190">
        <v>25.851155186869363</v>
      </c>
      <c r="E24" s="191">
        <v>396.15445059040206</v>
      </c>
      <c r="F24" s="191">
        <v>1274.8418077372867</v>
      </c>
      <c r="G24" s="192">
        <v>1670.9962583276888</v>
      </c>
    </row>
    <row r="25" spans="1:7" x14ac:dyDescent="0.2">
      <c r="A25" s="188" t="s">
        <v>47</v>
      </c>
      <c r="B25" s="189">
        <v>0.6771452137036531</v>
      </c>
      <c r="C25" s="189">
        <v>0.57386805224352155</v>
      </c>
      <c r="D25" s="190">
        <v>1.2510132659471747</v>
      </c>
      <c r="E25" s="191">
        <v>43.770079528903857</v>
      </c>
      <c r="F25" s="191">
        <v>37.094333353419934</v>
      </c>
      <c r="G25" s="192">
        <v>80.864412882323791</v>
      </c>
    </row>
    <row r="26" spans="1:7" ht="15" x14ac:dyDescent="0.25">
      <c r="A26" s="195" t="s">
        <v>27</v>
      </c>
      <c r="B26" s="77">
        <f>B27+B28+B29</f>
        <v>35.298464436471548</v>
      </c>
      <c r="C26" s="77">
        <f t="shared" ref="C26:D26" si="4">C27+C28+C29</f>
        <v>0.41022641608677568</v>
      </c>
      <c r="D26" s="77">
        <f t="shared" si="4"/>
        <v>35.708690852558327</v>
      </c>
      <c r="E26" s="78">
        <v>2281.6621374048545</v>
      </c>
      <c r="F26" s="78">
        <v>26.516679869546437</v>
      </c>
      <c r="G26" s="79">
        <v>2308.1788172744009</v>
      </c>
    </row>
    <row r="27" spans="1:7" x14ac:dyDescent="0.2">
      <c r="A27" s="188" t="s">
        <v>28</v>
      </c>
      <c r="B27" s="189">
        <v>10.686285492893518</v>
      </c>
      <c r="C27" s="189">
        <v>5.4885857638982703E-2</v>
      </c>
      <c r="D27" s="190">
        <v>10.7411713505325</v>
      </c>
      <c r="E27" s="191">
        <v>690.75222925111461</v>
      </c>
      <c r="F27" s="191">
        <v>3.5477742517452691</v>
      </c>
      <c r="G27" s="192">
        <v>694.30000350286002</v>
      </c>
    </row>
    <row r="28" spans="1:7" x14ac:dyDescent="0.2">
      <c r="A28" s="188" t="s">
        <v>29</v>
      </c>
      <c r="B28" s="189">
        <v>7.6776248497808384</v>
      </c>
      <c r="C28" s="189">
        <v>4.009833743851951E-2</v>
      </c>
      <c r="D28" s="190">
        <v>7.7177231872193577</v>
      </c>
      <c r="E28" s="191">
        <v>496.27501378908863</v>
      </c>
      <c r="F28" s="191">
        <v>2.5919217667673426</v>
      </c>
      <c r="G28" s="192">
        <v>498.866935555856</v>
      </c>
    </row>
    <row r="29" spans="1:7" x14ac:dyDescent="0.2">
      <c r="A29" s="188" t="s">
        <v>30</v>
      </c>
      <c r="B29" s="189">
        <v>16.934554093797193</v>
      </c>
      <c r="C29" s="189">
        <v>0.31524222100927346</v>
      </c>
      <c r="D29" s="190">
        <v>17.249796314806467</v>
      </c>
      <c r="E29" s="191">
        <v>1094.6348943646512</v>
      </c>
      <c r="F29" s="191">
        <v>20.376983851033824</v>
      </c>
      <c r="G29" s="192">
        <v>1115.0118782156851</v>
      </c>
    </row>
    <row r="30" spans="1:7" ht="15" x14ac:dyDescent="0.25">
      <c r="A30" s="194" t="s">
        <v>18</v>
      </c>
      <c r="B30" s="77">
        <f>B31+B32+B33</f>
        <v>16.258000326366016</v>
      </c>
      <c r="C30" s="77">
        <f t="shared" ref="C30:D30" si="5">C31+C32+C33</f>
        <v>12.557114959765189</v>
      </c>
      <c r="D30" s="77">
        <f t="shared" si="5"/>
        <v>28.815115286131199</v>
      </c>
      <c r="E30" s="78">
        <v>1050.9030454100164</v>
      </c>
      <c r="F30" s="78">
        <v>811.6810239805518</v>
      </c>
      <c r="G30" s="79">
        <v>1862.5840693905682</v>
      </c>
    </row>
    <row r="31" spans="1:7" x14ac:dyDescent="0.2">
      <c r="A31" s="188" t="s">
        <v>19</v>
      </c>
      <c r="B31" s="189">
        <v>9.0776430710730551</v>
      </c>
      <c r="C31" s="189">
        <v>4.404065112599608</v>
      </c>
      <c r="D31" s="190">
        <v>13.481708183672662</v>
      </c>
      <c r="E31" s="191">
        <v>586.77097779761982</v>
      </c>
      <c r="F31" s="191">
        <v>284.67495055398609</v>
      </c>
      <c r="G31" s="192">
        <v>871.44592835160574</v>
      </c>
    </row>
    <row r="32" spans="1:7" x14ac:dyDescent="0.2">
      <c r="A32" s="188" t="s">
        <v>20</v>
      </c>
      <c r="B32" s="189">
        <v>6.5332384611932914</v>
      </c>
      <c r="C32" s="189">
        <v>7.8195884317237923</v>
      </c>
      <c r="D32" s="190">
        <v>14.352826892917083</v>
      </c>
      <c r="E32" s="191">
        <v>422.30286981378856</v>
      </c>
      <c r="F32" s="191">
        <v>505.45141664345567</v>
      </c>
      <c r="G32" s="192">
        <v>927.75428645724435</v>
      </c>
    </row>
    <row r="33" spans="1:7" x14ac:dyDescent="0.2">
      <c r="A33" s="188" t="s">
        <v>21</v>
      </c>
      <c r="B33" s="189">
        <v>0.64711879409966722</v>
      </c>
      <c r="C33" s="189">
        <v>0.33346141544178798</v>
      </c>
      <c r="D33" s="190">
        <v>0.98058020954145519</v>
      </c>
      <c r="E33" s="191">
        <v>41.829197798608007</v>
      </c>
      <c r="F33" s="191">
        <v>21.554656783109991</v>
      </c>
      <c r="G33" s="192">
        <v>63.383854581717998</v>
      </c>
    </row>
    <row r="34" spans="1:7" ht="15" x14ac:dyDescent="0.25">
      <c r="A34" s="195" t="s">
        <v>39</v>
      </c>
      <c r="B34" s="77">
        <f>B35+B36+B37+B38</f>
        <v>11.595549354636143</v>
      </c>
      <c r="C34" s="77">
        <f t="shared" ref="C34:D34" si="6">C35+C36+C37+C38</f>
        <v>0.62081732876132978</v>
      </c>
      <c r="D34" s="77">
        <f t="shared" si="6"/>
        <v>12.216366683397473</v>
      </c>
      <c r="E34" s="78">
        <v>749.52625694238975</v>
      </c>
      <c r="F34" s="78">
        <v>40.129093882508322</v>
      </c>
      <c r="G34" s="79">
        <v>789.65535082489816</v>
      </c>
    </row>
    <row r="35" spans="1:7" x14ac:dyDescent="0.2">
      <c r="A35" s="188" t="s">
        <v>40</v>
      </c>
      <c r="B35" s="189">
        <v>0.80729123931325886</v>
      </c>
      <c r="C35" s="189">
        <v>9.3875954770112444E-2</v>
      </c>
      <c r="D35" s="190">
        <v>0.90116719408337131</v>
      </c>
      <c r="E35" s="191">
        <v>52.182605787704574</v>
      </c>
      <c r="F35" s="191">
        <v>6.0680603258872834</v>
      </c>
      <c r="G35" s="192">
        <v>58.250666113591855</v>
      </c>
    </row>
    <row r="36" spans="1:7" x14ac:dyDescent="0.2">
      <c r="A36" s="188" t="s">
        <v>41</v>
      </c>
      <c r="B36" s="189">
        <v>1.8739299376607494</v>
      </c>
      <c r="C36" s="189">
        <v>7.2532862780725238E-2</v>
      </c>
      <c r="D36" s="190">
        <v>1.9464628004414748</v>
      </c>
      <c r="E36" s="191">
        <v>121.1292064731349</v>
      </c>
      <c r="F36" s="191">
        <v>4.6884613641540493</v>
      </c>
      <c r="G36" s="192">
        <v>125.81766783728894</v>
      </c>
    </row>
    <row r="37" spans="1:7" x14ac:dyDescent="0.2">
      <c r="A37" s="188" t="s">
        <v>42</v>
      </c>
      <c r="B37" s="189">
        <v>0.53280610510628867</v>
      </c>
      <c r="C37" s="189">
        <v>5.2900334692196606E-2</v>
      </c>
      <c r="D37" s="190">
        <v>0.58570643979848525</v>
      </c>
      <c r="E37" s="191">
        <v>34.440124691177374</v>
      </c>
      <c r="F37" s="191">
        <v>3.4194317699134102</v>
      </c>
      <c r="G37" s="192">
        <v>37.859556461090783</v>
      </c>
    </row>
    <row r="38" spans="1:7" x14ac:dyDescent="0.2">
      <c r="A38" s="188" t="s">
        <v>43</v>
      </c>
      <c r="B38" s="189">
        <v>8.3815220725558461</v>
      </c>
      <c r="C38" s="189">
        <v>0.40150817651829546</v>
      </c>
      <c r="D38" s="190">
        <v>8.783030249074141</v>
      </c>
      <c r="E38" s="191">
        <v>541.77431999037299</v>
      </c>
      <c r="F38" s="191">
        <v>25.953140422553581</v>
      </c>
      <c r="G38" s="192">
        <v>567.72746041292646</v>
      </c>
    </row>
    <row r="39" spans="1:7" ht="15" x14ac:dyDescent="0.25">
      <c r="A39" s="194" t="s">
        <v>48</v>
      </c>
      <c r="B39" s="77">
        <f>B40+B41+B42+B43</f>
        <v>8.7261659751837701</v>
      </c>
      <c r="C39" s="77">
        <f t="shared" ref="C39:D39" si="7">C40+C41+C42+C43</f>
        <v>2.4619662245295815</v>
      </c>
      <c r="D39" s="77">
        <f t="shared" si="7"/>
        <v>11.188132199713351</v>
      </c>
      <c r="E39" s="78">
        <v>564.0518030499785</v>
      </c>
      <c r="F39" s="78">
        <v>159.13936222887546</v>
      </c>
      <c r="G39" s="79">
        <v>723.19116527885387</v>
      </c>
    </row>
    <row r="40" spans="1:7" x14ac:dyDescent="0.2">
      <c r="A40" s="188" t="s">
        <v>49</v>
      </c>
      <c r="B40" s="189">
        <v>4.5448672356264508</v>
      </c>
      <c r="C40" s="189">
        <v>1.9389545695792576</v>
      </c>
      <c r="D40" s="190">
        <v>6.4838218052057082</v>
      </c>
      <c r="E40" s="191">
        <v>293.77627771100055</v>
      </c>
      <c r="F40" s="191">
        <v>125.3323423039914</v>
      </c>
      <c r="G40" s="192">
        <v>419.10862001499191</v>
      </c>
    </row>
    <row r="41" spans="1:7" x14ac:dyDescent="0.2">
      <c r="A41" s="188" t="s">
        <v>50</v>
      </c>
      <c r="B41" s="189">
        <v>1.6641915028326932</v>
      </c>
      <c r="C41" s="189">
        <v>0.27757587232427122</v>
      </c>
      <c r="D41" s="190">
        <v>1.9417673751569644</v>
      </c>
      <c r="E41" s="191">
        <v>107.57189588907235</v>
      </c>
      <c r="F41" s="191">
        <v>17.942263728759585</v>
      </c>
      <c r="G41" s="192">
        <v>125.51415961783194</v>
      </c>
    </row>
    <row r="42" spans="1:7" x14ac:dyDescent="0.2">
      <c r="A42" s="188" t="s">
        <v>51</v>
      </c>
      <c r="B42" s="189">
        <v>1.8303511126898946</v>
      </c>
      <c r="C42" s="189">
        <v>0.18677906204564226</v>
      </c>
      <c r="D42" s="190">
        <v>2.017130174735537</v>
      </c>
      <c r="E42" s="191">
        <v>118.31230900986009</v>
      </c>
      <c r="F42" s="191">
        <v>12.073236633183523</v>
      </c>
      <c r="G42" s="192">
        <v>130.3855456430436</v>
      </c>
    </row>
    <row r="43" spans="1:7" x14ac:dyDescent="0.2">
      <c r="A43" s="188" t="s">
        <v>52</v>
      </c>
      <c r="B43" s="189">
        <v>0.68675612403473152</v>
      </c>
      <c r="C43" s="189">
        <v>5.8656720580410195E-2</v>
      </c>
      <c r="D43" s="190">
        <v>0.74541284461514168</v>
      </c>
      <c r="E43" s="191">
        <v>44.391320440045504</v>
      </c>
      <c r="F43" s="191">
        <v>3.7915195629409717</v>
      </c>
      <c r="G43" s="192">
        <v>48.182840002986481</v>
      </c>
    </row>
    <row r="44" spans="1:7" ht="15" x14ac:dyDescent="0.25">
      <c r="A44" s="195" t="s">
        <v>53</v>
      </c>
      <c r="B44" s="77">
        <f>B45+B46</f>
        <v>10.822201822175687</v>
      </c>
      <c r="C44" s="77">
        <f t="shared" ref="C44:D44" si="8">C45+C46</f>
        <v>0.29445395130071617</v>
      </c>
      <c r="D44" s="77">
        <f t="shared" si="8"/>
        <v>11.116655773476404</v>
      </c>
      <c r="E44" s="78">
        <v>699.53774293645665</v>
      </c>
      <c r="F44" s="78">
        <v>19.033248120502517</v>
      </c>
      <c r="G44" s="79">
        <v>718.57099105695931</v>
      </c>
    </row>
    <row r="45" spans="1:7" x14ac:dyDescent="0.2">
      <c r="A45" s="188" t="s">
        <v>54</v>
      </c>
      <c r="B45" s="189">
        <v>0.45029760105146616</v>
      </c>
      <c r="C45" s="189">
        <v>1.8886416658147363E-2</v>
      </c>
      <c r="D45" s="190">
        <v>0.46918401770961354</v>
      </c>
      <c r="E45" s="191">
        <v>29.106846523946665</v>
      </c>
      <c r="F45" s="191">
        <v>1.2208015982594032</v>
      </c>
      <c r="G45" s="192">
        <v>30.327648122206067</v>
      </c>
    </row>
    <row r="46" spans="1:7" x14ac:dyDescent="0.2">
      <c r="A46" s="188" t="s">
        <v>55</v>
      </c>
      <c r="B46" s="189">
        <v>10.371904221124222</v>
      </c>
      <c r="C46" s="189">
        <v>0.27556753464256878</v>
      </c>
      <c r="D46" s="190">
        <v>10.647471755766791</v>
      </c>
      <c r="E46" s="191">
        <v>670.43089641251004</v>
      </c>
      <c r="F46" s="191">
        <v>17.812446522243114</v>
      </c>
      <c r="G46" s="192">
        <v>688.24334293475317</v>
      </c>
    </row>
    <row r="47" spans="1:7" ht="15" x14ac:dyDescent="0.25">
      <c r="A47" s="196" t="s">
        <v>26</v>
      </c>
      <c r="B47" s="77">
        <v>7.6916641603148141</v>
      </c>
      <c r="C47" s="77">
        <v>0.24019427715008632</v>
      </c>
      <c r="D47" s="77">
        <v>7.9318584374649008</v>
      </c>
      <c r="E47" s="78">
        <v>497.18250264992264</v>
      </c>
      <c r="F47" s="78">
        <v>15.52594982654329</v>
      </c>
      <c r="G47" s="79">
        <v>512.70845247646594</v>
      </c>
    </row>
    <row r="48" spans="1:7" ht="15" x14ac:dyDescent="0.25">
      <c r="A48" s="195" t="s">
        <v>22</v>
      </c>
      <c r="B48" s="77">
        <f>B49+B50+B51</f>
        <v>5.92991386509454</v>
      </c>
      <c r="C48" s="77">
        <f t="shared" ref="C48:D48" si="9">C49+C50+C51</f>
        <v>1.1272450644569703</v>
      </c>
      <c r="D48" s="77">
        <f t="shared" si="9"/>
        <v>7.0571589295515107</v>
      </c>
      <c r="E48" s="78">
        <v>383.30449100439006</v>
      </c>
      <c r="F48" s="78">
        <v>72.864143645027681</v>
      </c>
      <c r="G48" s="79">
        <v>456.16863464941775</v>
      </c>
    </row>
    <row r="49" spans="1:7" x14ac:dyDescent="0.2">
      <c r="A49" s="188" t="s">
        <v>23</v>
      </c>
      <c r="B49" s="189">
        <v>1.3353280615231218</v>
      </c>
      <c r="C49" s="189">
        <v>0.74874816586463688</v>
      </c>
      <c r="D49" s="190">
        <v>2.0840762273877589</v>
      </c>
      <c r="E49" s="191">
        <v>86.31444816742524</v>
      </c>
      <c r="F49" s="191">
        <v>48.398432276830327</v>
      </c>
      <c r="G49" s="192">
        <v>134.71288044425557</v>
      </c>
    </row>
    <row r="50" spans="1:7" x14ac:dyDescent="0.2">
      <c r="A50" s="188" t="s">
        <v>24</v>
      </c>
      <c r="B50" s="189">
        <v>2.7547458495506767</v>
      </c>
      <c r="C50" s="189">
        <v>0.23679400445846252</v>
      </c>
      <c r="D50" s="190">
        <v>2.9915398540091394</v>
      </c>
      <c r="E50" s="191">
        <v>178.06438335030418</v>
      </c>
      <c r="F50" s="191">
        <v>15.306159147793153</v>
      </c>
      <c r="G50" s="192">
        <v>193.37054249809734</v>
      </c>
    </row>
    <row r="51" spans="1:7" x14ac:dyDescent="0.2">
      <c r="A51" s="188" t="s">
        <v>25</v>
      </c>
      <c r="B51" s="189">
        <v>1.8398399540207417</v>
      </c>
      <c r="C51" s="189">
        <v>0.14170289413387091</v>
      </c>
      <c r="D51" s="190">
        <v>1.9815428481546127</v>
      </c>
      <c r="E51" s="191">
        <v>118.92565948666062</v>
      </c>
      <c r="F51" s="191">
        <v>9.1595522204042013</v>
      </c>
      <c r="G51" s="192">
        <v>128.08521170706481</v>
      </c>
    </row>
    <row r="52" spans="1:7" ht="15" x14ac:dyDescent="0.25">
      <c r="A52" s="194" t="s">
        <v>56</v>
      </c>
      <c r="B52" s="77">
        <f>B53+B54+B55+B56+B57</f>
        <v>1.5719773967372541</v>
      </c>
      <c r="C52" s="77">
        <f t="shared" ref="C52:D52" si="10">C53+C54+C55+C56+C57</f>
        <v>0.25999051306536564</v>
      </c>
      <c r="D52" s="77">
        <f t="shared" si="10"/>
        <v>1.8319679098026198</v>
      </c>
      <c r="E52" s="78">
        <v>101.61125602069315</v>
      </c>
      <c r="F52" s="78">
        <v>16.805561352770408</v>
      </c>
      <c r="G52" s="79">
        <v>118.41681737346354</v>
      </c>
    </row>
    <row r="53" spans="1:7" x14ac:dyDescent="0.2">
      <c r="A53" s="188" t="s">
        <v>57</v>
      </c>
      <c r="B53" s="189">
        <v>0.72807845577012065</v>
      </c>
      <c r="C53" s="189">
        <v>0.17244090843298432</v>
      </c>
      <c r="D53" s="190">
        <v>0.90051936420310497</v>
      </c>
      <c r="E53" s="191">
        <v>47.062360136959455</v>
      </c>
      <c r="F53" s="191">
        <v>11.146430814840496</v>
      </c>
      <c r="G53" s="192">
        <v>58.208790951799948</v>
      </c>
    </row>
    <row r="54" spans="1:7" ht="25.5" x14ac:dyDescent="0.2">
      <c r="A54" s="188" t="s">
        <v>58</v>
      </c>
      <c r="B54" s="189">
        <v>2.0571886439460035E-2</v>
      </c>
      <c r="C54" s="189">
        <v>2.4012958736708899E-3</v>
      </c>
      <c r="D54" s="190">
        <v>2.2973182313130926E-2</v>
      </c>
      <c r="E54" s="191">
        <v>1.3297489036211538</v>
      </c>
      <c r="F54" s="191">
        <v>0.15521768335056388</v>
      </c>
      <c r="G54" s="192">
        <v>1.4849665869717177</v>
      </c>
    </row>
    <row r="55" spans="1:7" x14ac:dyDescent="0.2">
      <c r="A55" s="188" t="s">
        <v>59</v>
      </c>
      <c r="B55" s="189">
        <v>0.1346039612094162</v>
      </c>
      <c r="C55" s="189">
        <v>1.1905341559698487E-2</v>
      </c>
      <c r="D55" s="190">
        <v>0.1465093027691147</v>
      </c>
      <c r="E55" s="191">
        <v>8.7006833509422936</v>
      </c>
      <c r="F55" s="191">
        <v>0.76955095648777794</v>
      </c>
      <c r="G55" s="192">
        <v>9.4702343074300721</v>
      </c>
    </row>
    <row r="56" spans="1:7" x14ac:dyDescent="0.2">
      <c r="A56" s="188" t="s">
        <v>60</v>
      </c>
      <c r="B56" s="189">
        <v>0.40816969536572673</v>
      </c>
      <c r="C56" s="189">
        <v>2.1210330197635761E-2</v>
      </c>
      <c r="D56" s="190">
        <v>0.42938002556336247</v>
      </c>
      <c r="E56" s="191">
        <v>26.383735225314698</v>
      </c>
      <c r="F56" s="191">
        <v>1.3710173546188944</v>
      </c>
      <c r="G56" s="192">
        <v>27.754752579933594</v>
      </c>
    </row>
    <row r="57" spans="1:7" x14ac:dyDescent="0.2">
      <c r="A57" s="188" t="s">
        <v>61</v>
      </c>
      <c r="B57" s="189">
        <v>0.28055339795253054</v>
      </c>
      <c r="C57" s="189">
        <v>5.203263700137617E-2</v>
      </c>
      <c r="D57" s="190">
        <v>0.33258603495390671</v>
      </c>
      <c r="E57" s="191">
        <v>18.134728403855547</v>
      </c>
      <c r="F57" s="191">
        <v>3.3633445434726754</v>
      </c>
      <c r="G57" s="192">
        <v>21.498072947328222</v>
      </c>
    </row>
    <row r="58" spans="1:7" ht="15" x14ac:dyDescent="0.25">
      <c r="A58" s="195" t="s">
        <v>152</v>
      </c>
      <c r="B58" s="77" t="s">
        <v>145</v>
      </c>
      <c r="C58" s="77">
        <v>1.0184750247649428</v>
      </c>
      <c r="D58" s="77">
        <v>1.0184750247649428</v>
      </c>
      <c r="E58" s="78" t="s">
        <v>145</v>
      </c>
      <c r="F58" s="78">
        <v>65.833342582959432</v>
      </c>
      <c r="G58" s="79">
        <v>65.833342582959432</v>
      </c>
    </row>
    <row r="59" spans="1:7" ht="15.75" thickBot="1" x14ac:dyDescent="0.3">
      <c r="A59" s="197" t="s">
        <v>62</v>
      </c>
      <c r="B59" s="198">
        <v>253.71128195933565</v>
      </c>
      <c r="C59" s="198">
        <v>81.306940048685377</v>
      </c>
      <c r="D59" s="198">
        <v>335.0182220080211</v>
      </c>
      <c r="E59" s="198">
        <v>16399.677298170001</v>
      </c>
      <c r="F59" s="198">
        <v>5255.6101116299997</v>
      </c>
      <c r="G59" s="199">
        <v>21655.287409800003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D15" sqref="B15:D15"/>
    </sheetView>
  </sheetViews>
  <sheetFormatPr baseColWidth="10" defaultRowHeight="12.75" x14ac:dyDescent="0.2"/>
  <cols>
    <col min="1" max="1" width="41.42578125" customWidth="1"/>
    <col min="2" max="4" width="15.7109375" customWidth="1"/>
  </cols>
  <sheetData>
    <row r="1" spans="1:4" ht="37.5" customHeight="1" x14ac:dyDescent="0.2">
      <c r="A1" s="183" t="s">
        <v>293</v>
      </c>
      <c r="B1" s="72" t="s">
        <v>294</v>
      </c>
      <c r="C1" s="72" t="s">
        <v>295</v>
      </c>
      <c r="D1" s="72" t="s">
        <v>296</v>
      </c>
    </row>
    <row r="2" spans="1:4" ht="15" x14ac:dyDescent="0.2">
      <c r="A2" s="184" t="s">
        <v>6</v>
      </c>
      <c r="B2" s="185">
        <v>83.113615525552603</v>
      </c>
      <c r="C2" s="185">
        <v>1.704432961063209</v>
      </c>
      <c r="D2" s="185">
        <v>84.818048486615822</v>
      </c>
    </row>
    <row r="3" spans="1:4" ht="15" x14ac:dyDescent="0.25">
      <c r="A3" s="194" t="s">
        <v>31</v>
      </c>
      <c r="B3" s="77">
        <v>37.282010079640486</v>
      </c>
      <c r="C3" s="77">
        <v>7.6290199243239654</v>
      </c>
      <c r="D3" s="77">
        <v>44.911030003964449</v>
      </c>
    </row>
    <row r="4" spans="1:4" ht="15" x14ac:dyDescent="0.2">
      <c r="A4" s="193" t="s">
        <v>12</v>
      </c>
      <c r="B4" s="77">
        <v>21.851668512053138</v>
      </c>
      <c r="C4" s="77">
        <v>22.888372392490052</v>
      </c>
      <c r="D4" s="77">
        <v>44.740040904543193</v>
      </c>
    </row>
    <row r="5" spans="1:4" ht="15" x14ac:dyDescent="0.25">
      <c r="A5" s="194" t="s">
        <v>44</v>
      </c>
      <c r="B5" s="77">
        <v>13.570050505109657</v>
      </c>
      <c r="C5" s="77">
        <v>30.094631010927191</v>
      </c>
      <c r="D5" s="77">
        <v>43.664681516036843</v>
      </c>
    </row>
    <row r="6" spans="1:4" ht="15" x14ac:dyDescent="0.25">
      <c r="A6" s="195" t="s">
        <v>27</v>
      </c>
      <c r="B6" s="77">
        <v>35.298464436471548</v>
      </c>
      <c r="C6" s="77">
        <v>0.41022641608677568</v>
      </c>
      <c r="D6" s="77">
        <v>35.708690852558327</v>
      </c>
    </row>
    <row r="7" spans="1:4" ht="15" x14ac:dyDescent="0.25">
      <c r="A7" s="194" t="s">
        <v>18</v>
      </c>
      <c r="B7" s="77">
        <v>16.258000326366016</v>
      </c>
      <c r="C7" s="77">
        <v>12.557114959765189</v>
      </c>
      <c r="D7" s="77">
        <v>28.815115286131199</v>
      </c>
    </row>
    <row r="8" spans="1:4" ht="15" x14ac:dyDescent="0.25">
      <c r="A8" s="195" t="s">
        <v>39</v>
      </c>
      <c r="B8" s="77">
        <v>11.595549354636143</v>
      </c>
      <c r="C8" s="77">
        <v>0.62081732876132978</v>
      </c>
      <c r="D8" s="77">
        <v>12.216366683397473</v>
      </c>
    </row>
    <row r="9" spans="1:4" ht="15" x14ac:dyDescent="0.25">
      <c r="A9" s="194" t="s">
        <v>48</v>
      </c>
      <c r="B9" s="77">
        <v>8.7261659751837701</v>
      </c>
      <c r="C9" s="77">
        <v>2.4619662245295815</v>
      </c>
      <c r="D9" s="77">
        <v>11.188132199713351</v>
      </c>
    </row>
    <row r="10" spans="1:4" ht="15" x14ac:dyDescent="0.25">
      <c r="A10" s="195" t="s">
        <v>53</v>
      </c>
      <c r="B10" s="77">
        <v>10.822201822175687</v>
      </c>
      <c r="C10" s="77">
        <v>0.29445395130071617</v>
      </c>
      <c r="D10" s="77">
        <v>11.116655773476404</v>
      </c>
    </row>
    <row r="11" spans="1:4" ht="15" x14ac:dyDescent="0.25">
      <c r="A11" s="196" t="s">
        <v>26</v>
      </c>
      <c r="B11" s="77">
        <v>7.6916641603148141</v>
      </c>
      <c r="C11" s="77">
        <v>0.24019427715008632</v>
      </c>
      <c r="D11" s="77">
        <v>7.9318584374649008</v>
      </c>
    </row>
    <row r="12" spans="1:4" ht="15" x14ac:dyDescent="0.25">
      <c r="A12" s="195" t="s">
        <v>22</v>
      </c>
      <c r="B12" s="77">
        <v>5.92991386509454</v>
      </c>
      <c r="C12" s="77">
        <v>1.1272450644569703</v>
      </c>
      <c r="D12" s="77">
        <v>7.0571589295515107</v>
      </c>
    </row>
    <row r="13" spans="1:4" ht="15" x14ac:dyDescent="0.25">
      <c r="A13" s="194" t="s">
        <v>56</v>
      </c>
      <c r="B13" s="77">
        <v>1.5719773967372541</v>
      </c>
      <c r="C13" s="77">
        <v>0.25999051306536564</v>
      </c>
      <c r="D13" s="77">
        <v>1.8319679098026198</v>
      </c>
    </row>
    <row r="14" spans="1:4" ht="15" x14ac:dyDescent="0.25">
      <c r="A14" s="195" t="s">
        <v>152</v>
      </c>
      <c r="B14" s="77" t="s">
        <v>145</v>
      </c>
      <c r="C14" s="77">
        <v>1.0184750247649428</v>
      </c>
      <c r="D14" s="77">
        <v>1.0184750247649428</v>
      </c>
    </row>
    <row r="15" spans="1:4" ht="15.75" thickBot="1" x14ac:dyDescent="0.3">
      <c r="A15" s="197" t="s">
        <v>62</v>
      </c>
      <c r="B15" s="479">
        <v>253.71128195933565</v>
      </c>
      <c r="C15" s="479">
        <v>81.306940048685377</v>
      </c>
      <c r="D15" s="479">
        <v>335.0182220080211</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6" sqref="A16"/>
    </sheetView>
  </sheetViews>
  <sheetFormatPr baseColWidth="10" defaultRowHeight="12.75" x14ac:dyDescent="0.2"/>
  <cols>
    <col min="1" max="1" width="32" customWidth="1"/>
    <col min="2" max="6" width="12.7109375" customWidth="1"/>
  </cols>
  <sheetData>
    <row r="1" spans="1:6" ht="48" x14ac:dyDescent="0.2">
      <c r="A1" s="622" t="s">
        <v>204</v>
      </c>
      <c r="B1" s="233" t="s">
        <v>205</v>
      </c>
      <c r="C1" s="233" t="s">
        <v>207</v>
      </c>
      <c r="D1" s="233" t="s">
        <v>209</v>
      </c>
      <c r="E1" s="623" t="s">
        <v>211</v>
      </c>
      <c r="F1" s="623"/>
    </row>
    <row r="2" spans="1:6" x14ac:dyDescent="0.2">
      <c r="A2" s="622"/>
      <c r="B2" s="233" t="s">
        <v>206</v>
      </c>
      <c r="C2" s="233" t="s">
        <v>208</v>
      </c>
      <c r="D2" s="233" t="s">
        <v>210</v>
      </c>
      <c r="E2" s="233" t="s">
        <v>212</v>
      </c>
      <c r="F2" s="233" t="s">
        <v>210</v>
      </c>
    </row>
    <row r="3" spans="1:6" ht="24" x14ac:dyDescent="0.2">
      <c r="A3" s="234" t="s">
        <v>213</v>
      </c>
      <c r="B3" s="235">
        <v>29</v>
      </c>
      <c r="C3" s="235">
        <v>98</v>
      </c>
      <c r="D3" s="236">
        <v>6334</v>
      </c>
      <c r="E3" s="235" t="s">
        <v>214</v>
      </c>
      <c r="F3" s="237" t="s">
        <v>214</v>
      </c>
    </row>
    <row r="4" spans="1:6" x14ac:dyDescent="0.2">
      <c r="A4" s="238" t="s">
        <v>215</v>
      </c>
      <c r="B4" s="239">
        <v>9</v>
      </c>
      <c r="C4" s="239">
        <v>30</v>
      </c>
      <c r="D4" s="240">
        <v>1921</v>
      </c>
      <c r="E4" s="241">
        <v>0.13</v>
      </c>
      <c r="F4" s="239">
        <v>250</v>
      </c>
    </row>
    <row r="5" spans="1:6" ht="24" x14ac:dyDescent="0.2">
      <c r="A5" s="234" t="s">
        <v>216</v>
      </c>
      <c r="B5" s="235">
        <v>5</v>
      </c>
      <c r="C5" s="235">
        <v>17</v>
      </c>
      <c r="D5" s="236">
        <v>1128</v>
      </c>
      <c r="E5" s="242">
        <v>0.22</v>
      </c>
      <c r="F5" s="235">
        <v>248</v>
      </c>
    </row>
    <row r="6" spans="1:6" ht="24" x14ac:dyDescent="0.2">
      <c r="A6" s="243" t="s">
        <v>217</v>
      </c>
      <c r="B6" s="244">
        <v>2</v>
      </c>
      <c r="C6" s="244">
        <v>8</v>
      </c>
      <c r="D6" s="244">
        <v>511</v>
      </c>
      <c r="E6" s="244" t="s">
        <v>214</v>
      </c>
      <c r="F6" s="245" t="s">
        <v>218</v>
      </c>
    </row>
    <row r="7" spans="1:6" x14ac:dyDescent="0.2">
      <c r="A7" s="234" t="s">
        <v>219</v>
      </c>
      <c r="B7" s="235">
        <v>3</v>
      </c>
      <c r="C7" s="235">
        <v>11</v>
      </c>
      <c r="D7" s="235">
        <v>694</v>
      </c>
      <c r="E7" s="242">
        <v>0.08</v>
      </c>
      <c r="F7" s="235">
        <v>56</v>
      </c>
    </row>
    <row r="8" spans="1:6" ht="24" x14ac:dyDescent="0.2">
      <c r="A8" s="243" t="s">
        <v>220</v>
      </c>
      <c r="B8" s="244">
        <v>30</v>
      </c>
      <c r="C8" s="244">
        <v>101</v>
      </c>
      <c r="D8" s="246">
        <v>6552</v>
      </c>
      <c r="E8" s="247">
        <v>0.02</v>
      </c>
      <c r="F8" s="244">
        <v>131</v>
      </c>
    </row>
    <row r="9" spans="1:6" x14ac:dyDescent="0.2">
      <c r="A9" s="248" t="s">
        <v>221</v>
      </c>
      <c r="B9" s="249">
        <v>12</v>
      </c>
      <c r="C9" s="249">
        <v>41</v>
      </c>
      <c r="D9" s="250">
        <v>2624</v>
      </c>
      <c r="E9" s="235" t="s">
        <v>214</v>
      </c>
      <c r="F9" s="251" t="s">
        <v>218</v>
      </c>
    </row>
    <row r="10" spans="1:6" ht="24" x14ac:dyDescent="0.2">
      <c r="A10" s="243" t="s">
        <v>222</v>
      </c>
      <c r="B10" s="244">
        <v>1</v>
      </c>
      <c r="C10" s="244">
        <v>2</v>
      </c>
      <c r="D10" s="244">
        <v>138</v>
      </c>
      <c r="E10" s="247">
        <v>0.31</v>
      </c>
      <c r="F10" s="244">
        <v>43</v>
      </c>
    </row>
    <row r="11" spans="1:6" ht="24" x14ac:dyDescent="0.2">
      <c r="A11" s="234" t="s">
        <v>223</v>
      </c>
      <c r="B11" s="235">
        <v>13</v>
      </c>
      <c r="C11" s="235">
        <v>42</v>
      </c>
      <c r="D11" s="236">
        <v>2742</v>
      </c>
      <c r="E11" s="235" t="s">
        <v>214</v>
      </c>
      <c r="F11" s="237" t="s">
        <v>224</v>
      </c>
    </row>
    <row r="12" spans="1:6" ht="24" x14ac:dyDescent="0.2">
      <c r="A12" s="243" t="s">
        <v>225</v>
      </c>
      <c r="B12" s="244">
        <v>3</v>
      </c>
      <c r="C12" s="244">
        <v>10</v>
      </c>
      <c r="D12" s="244">
        <v>676</v>
      </c>
      <c r="E12" s="244" t="s">
        <v>214</v>
      </c>
      <c r="F12" s="245" t="s">
        <v>218</v>
      </c>
    </row>
    <row r="13" spans="1:6" ht="15" x14ac:dyDescent="0.25">
      <c r="A13" s="252"/>
      <c r="B13" s="252"/>
      <c r="C13" s="252"/>
      <c r="D13" s="252"/>
      <c r="E13" s="252"/>
      <c r="F13" s="252"/>
    </row>
    <row r="14" spans="1:6" x14ac:dyDescent="0.2">
      <c r="A14" s="253" t="s">
        <v>226</v>
      </c>
      <c r="B14" s="244">
        <v>74</v>
      </c>
      <c r="C14" s="244">
        <v>248</v>
      </c>
      <c r="D14" s="246">
        <v>18735</v>
      </c>
      <c r="E14" s="244"/>
      <c r="F14" s="244"/>
    </row>
    <row r="15" spans="1:6" x14ac:dyDescent="0.2">
      <c r="A15" t="s">
        <v>319</v>
      </c>
    </row>
  </sheetData>
  <mergeCells count="2">
    <mergeCell ref="A1:A2"/>
    <mergeCell ref="E1:F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80" zoomScaleNormal="80" workbookViewId="0">
      <selection activeCell="C4" sqref="C4"/>
    </sheetView>
  </sheetViews>
  <sheetFormatPr baseColWidth="10" defaultRowHeight="12.75" x14ac:dyDescent="0.2"/>
  <cols>
    <col min="1" max="1" width="40.42578125" customWidth="1"/>
    <col min="2" max="2" width="21.7109375" customWidth="1"/>
    <col min="3" max="3" width="25" bestFit="1" customWidth="1"/>
  </cols>
  <sheetData>
    <row r="1" spans="1:3" ht="89.25" x14ac:dyDescent="0.2">
      <c r="A1" s="480" t="s">
        <v>320</v>
      </c>
    </row>
    <row r="3" spans="1:3" ht="45" x14ac:dyDescent="0.2">
      <c r="A3" s="118" t="s">
        <v>228</v>
      </c>
      <c r="B3" s="22" t="s">
        <v>179</v>
      </c>
      <c r="C3" s="204" t="s">
        <v>412</v>
      </c>
    </row>
    <row r="4" spans="1:3" ht="20.100000000000001" customHeight="1" x14ac:dyDescent="0.2">
      <c r="A4" s="254" t="s">
        <v>227</v>
      </c>
      <c r="B4" s="255"/>
      <c r="C4" s="256"/>
    </row>
    <row r="5" spans="1:3" ht="20.100000000000001" customHeight="1" x14ac:dyDescent="0.2">
      <c r="A5" s="200" t="s">
        <v>95</v>
      </c>
      <c r="B5" s="201">
        <v>0.75289800455350286</v>
      </c>
      <c r="C5" s="213">
        <v>1670.9962583276888</v>
      </c>
    </row>
    <row r="6" spans="1:3" ht="20.100000000000001" customHeight="1" x14ac:dyDescent="0.2">
      <c r="A6" s="200" t="s">
        <v>70</v>
      </c>
      <c r="B6" s="201">
        <v>0.63992563583194906</v>
      </c>
      <c r="C6" s="213">
        <v>724.3908330123279</v>
      </c>
    </row>
    <row r="7" spans="1:3" ht="20.100000000000001" customHeight="1" x14ac:dyDescent="0.2">
      <c r="A7" s="200" t="s">
        <v>71</v>
      </c>
      <c r="B7" s="201">
        <v>0.6229087297453989</v>
      </c>
      <c r="C7" s="213">
        <v>1128.3533742149446</v>
      </c>
    </row>
    <row r="8" spans="1:3" ht="20.100000000000001" customHeight="1" x14ac:dyDescent="0.2">
      <c r="A8" s="200" t="s">
        <v>94</v>
      </c>
      <c r="B8" s="201">
        <v>0.57310888161248941</v>
      </c>
      <c r="C8" s="213">
        <v>1070.5864847077348</v>
      </c>
    </row>
    <row r="9" spans="1:3" ht="20.100000000000001" customHeight="1" x14ac:dyDescent="0.2">
      <c r="A9" s="200" t="s">
        <v>75</v>
      </c>
      <c r="B9" s="201">
        <v>0.54415037748372319</v>
      </c>
      <c r="C9" s="213">
        <v>927.75428645724435</v>
      </c>
    </row>
    <row r="10" spans="1:3" ht="20.100000000000001" customHeight="1" x14ac:dyDescent="0.2">
      <c r="A10" s="200" t="s">
        <v>86</v>
      </c>
      <c r="B10" s="201">
        <v>0.52416403407507539</v>
      </c>
      <c r="C10" s="213">
        <v>418.12465706897308</v>
      </c>
    </row>
    <row r="11" spans="1:3" ht="20.100000000000001" customHeight="1" x14ac:dyDescent="0.2">
      <c r="A11" s="200" t="s">
        <v>87</v>
      </c>
      <c r="B11" s="201">
        <v>0.46722639445260195</v>
      </c>
      <c r="C11" s="213">
        <v>172.83157750712789</v>
      </c>
    </row>
    <row r="12" spans="1:3" ht="20.100000000000001" customHeight="1" x14ac:dyDescent="0.2">
      <c r="A12" s="200" t="s">
        <v>77</v>
      </c>
      <c r="B12" s="201">
        <v>0.35778983278172533</v>
      </c>
      <c r="C12" s="213">
        <v>134.71288044425557</v>
      </c>
    </row>
    <row r="13" spans="1:3" ht="20.100000000000001" customHeight="1" x14ac:dyDescent="0.2">
      <c r="A13" s="200" t="s">
        <v>73</v>
      </c>
      <c r="B13" s="201">
        <v>0.34741365151547154</v>
      </c>
      <c r="C13" s="213">
        <v>293.43367237981619</v>
      </c>
    </row>
    <row r="14" spans="1:3" ht="20.100000000000001" customHeight="1" x14ac:dyDescent="0.2">
      <c r="A14" s="200" t="s">
        <v>76</v>
      </c>
      <c r="B14" s="201">
        <v>0.33981378697483122</v>
      </c>
      <c r="C14" s="213">
        <v>63.383854581717998</v>
      </c>
    </row>
    <row r="15" spans="1:3" ht="20.100000000000001" customHeight="1" x14ac:dyDescent="0.2">
      <c r="A15" s="200" t="s">
        <v>165</v>
      </c>
      <c r="B15" s="201">
        <v>0.33767129528894396</v>
      </c>
      <c r="C15" s="213">
        <v>510.87562496211319</v>
      </c>
    </row>
    <row r="16" spans="1:3" ht="20.100000000000001" customHeight="1" x14ac:dyDescent="0.2">
      <c r="A16" s="200" t="s">
        <v>74</v>
      </c>
      <c r="B16" s="201">
        <v>0.32401875114126916</v>
      </c>
      <c r="C16" s="213">
        <v>871.44592835160574</v>
      </c>
    </row>
    <row r="17" spans="1:3" ht="20.100000000000001" customHeight="1" x14ac:dyDescent="0.2">
      <c r="A17" s="200" t="s">
        <v>97</v>
      </c>
      <c r="B17" s="201">
        <v>0.29153780600257284</v>
      </c>
      <c r="C17" s="213">
        <v>130.3855456430436</v>
      </c>
    </row>
    <row r="18" spans="1:3" ht="20.100000000000001" customHeight="1" x14ac:dyDescent="0.2">
      <c r="A18" s="200" t="s">
        <v>69</v>
      </c>
      <c r="B18" s="201">
        <v>0.14335542516449365</v>
      </c>
      <c r="C18" s="213">
        <v>234.90394988500574</v>
      </c>
    </row>
    <row r="19" spans="1:3" ht="20.100000000000001" customHeight="1" x14ac:dyDescent="0.2">
      <c r="A19" s="200" t="s">
        <v>98</v>
      </c>
      <c r="B19" s="201">
        <v>0.1343113375324628</v>
      </c>
      <c r="C19" s="213">
        <v>125.51415961783194</v>
      </c>
    </row>
    <row r="20" spans="1:3" ht="17.25" customHeight="1" x14ac:dyDescent="0.2">
      <c r="A20" s="254" t="s">
        <v>178</v>
      </c>
      <c r="B20" s="255"/>
      <c r="C20" s="256"/>
    </row>
    <row r="21" spans="1:3" ht="20.100000000000001" customHeight="1" x14ac:dyDescent="0.2">
      <c r="A21" s="202" t="s">
        <v>90</v>
      </c>
      <c r="B21" s="203">
        <v>0.10334800446666582</v>
      </c>
      <c r="C21" s="213">
        <v>58.250666113591855</v>
      </c>
    </row>
    <row r="22" spans="1:3" ht="20.100000000000001" customHeight="1" x14ac:dyDescent="0.2">
      <c r="A22" s="202" t="s">
        <v>88</v>
      </c>
      <c r="B22" s="203">
        <v>0.10163520504464267</v>
      </c>
      <c r="C22" s="213">
        <v>732.26737437727411</v>
      </c>
    </row>
    <row r="23" spans="1:3" ht="20.100000000000001" customHeight="1" x14ac:dyDescent="0.2">
      <c r="A23" s="202" t="s">
        <v>85</v>
      </c>
      <c r="B23" s="203">
        <v>7.9779849523736748E-2</v>
      </c>
      <c r="C23" s="213">
        <v>654.33433853303529</v>
      </c>
    </row>
    <row r="24" spans="1:3" ht="20.100000000000001" customHeight="1" x14ac:dyDescent="0.2">
      <c r="A24" s="202" t="s">
        <v>78</v>
      </c>
      <c r="B24" s="203">
        <v>7.8605328845350861E-2</v>
      </c>
      <c r="C24" s="213">
        <v>193.37054249809734</v>
      </c>
    </row>
    <row r="25" spans="1:3" ht="20.100000000000001" customHeight="1" x14ac:dyDescent="0.2">
      <c r="A25" s="202" t="s">
        <v>84</v>
      </c>
      <c r="B25" s="203">
        <v>6.2964002960945634E-2</v>
      </c>
      <c r="C25" s="213">
        <v>138.16418250186092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zoomScale="80" zoomScaleNormal="80" workbookViewId="0">
      <pane xSplit="1" topLeftCell="B1" activePane="topRight" state="frozen"/>
      <selection activeCell="A26" sqref="A26"/>
      <selection pane="topRight" activeCell="B3" sqref="B3"/>
    </sheetView>
  </sheetViews>
  <sheetFormatPr baseColWidth="10" defaultColWidth="11.42578125" defaultRowHeight="15" x14ac:dyDescent="0.25"/>
  <cols>
    <col min="1" max="1" width="49.42578125" style="258" customWidth="1"/>
    <col min="2" max="2" width="28.5703125" style="258" customWidth="1"/>
    <col min="3" max="12" width="15.7109375" style="258" customWidth="1"/>
    <col min="13" max="13" width="18.42578125" style="258" customWidth="1"/>
    <col min="14" max="14" width="38.140625" style="258" customWidth="1"/>
    <col min="15" max="15" width="21.140625" style="258" customWidth="1"/>
    <col min="16" max="16" width="23" style="258" customWidth="1"/>
    <col min="17" max="17" width="23.28515625" style="258" customWidth="1"/>
    <col min="18" max="18" width="25.28515625" style="258" customWidth="1"/>
    <col min="19" max="22" width="20.7109375" style="258" customWidth="1"/>
    <col min="23" max="23" width="29.42578125" style="258" customWidth="1"/>
    <col min="24" max="29" width="15.7109375" style="258" customWidth="1"/>
    <col min="30" max="31" width="11.42578125" style="258" customWidth="1"/>
    <col min="32" max="32" width="11.42578125" style="258"/>
    <col min="33" max="33" width="42.42578125" style="258" customWidth="1"/>
    <col min="34" max="34" width="15.7109375" style="258" customWidth="1"/>
    <col min="35" max="37" width="15.7109375" style="258" hidden="1" customWidth="1"/>
    <col min="38" max="42" width="15.7109375" style="258" customWidth="1"/>
    <col min="43" max="16384" width="11.42578125" style="258"/>
  </cols>
  <sheetData>
    <row r="1" spans="1:2" x14ac:dyDescent="0.25">
      <c r="A1" s="402"/>
    </row>
    <row r="2" spans="1:2" x14ac:dyDescent="0.25">
      <c r="A2" s="402" t="s">
        <v>63</v>
      </c>
      <c r="B2" s="402" t="s">
        <v>297</v>
      </c>
    </row>
    <row r="3" spans="1:2" x14ac:dyDescent="0.25">
      <c r="A3" s="420" t="s">
        <v>95</v>
      </c>
      <c r="B3" s="421">
        <v>75.289800455350303</v>
      </c>
    </row>
    <row r="4" spans="1:2" x14ac:dyDescent="0.25">
      <c r="A4" s="418" t="s">
        <v>70</v>
      </c>
      <c r="B4" s="422">
        <v>63.992563583194901</v>
      </c>
    </row>
    <row r="5" spans="1:2" x14ac:dyDescent="0.25">
      <c r="A5" s="419" t="s">
        <v>71</v>
      </c>
      <c r="B5" s="421">
        <v>62.290872974539901</v>
      </c>
    </row>
    <row r="6" spans="1:2" x14ac:dyDescent="0.25">
      <c r="A6" s="417" t="s">
        <v>94</v>
      </c>
      <c r="B6" s="422">
        <v>57.310888161248897</v>
      </c>
    </row>
    <row r="7" spans="1:2" x14ac:dyDescent="0.25">
      <c r="A7" s="419" t="s">
        <v>75</v>
      </c>
      <c r="B7" s="421">
        <v>54.415037748372299</v>
      </c>
    </row>
    <row r="8" spans="1:2" x14ac:dyDescent="0.25">
      <c r="A8" s="417" t="s">
        <v>86</v>
      </c>
      <c r="B8" s="422">
        <v>52.416403407507502</v>
      </c>
    </row>
    <row r="9" spans="1:2" x14ac:dyDescent="0.25">
      <c r="A9" s="420" t="s">
        <v>87</v>
      </c>
      <c r="B9" s="421">
        <v>46.722639445260199</v>
      </c>
    </row>
    <row r="10" spans="1:2" x14ac:dyDescent="0.25">
      <c r="A10" s="419" t="s">
        <v>77</v>
      </c>
      <c r="B10" s="421">
        <v>35.778983278172497</v>
      </c>
    </row>
    <row r="11" spans="1:2" x14ac:dyDescent="0.25">
      <c r="A11" s="419" t="s">
        <v>73</v>
      </c>
      <c r="B11" s="421">
        <v>34.7413651515472</v>
      </c>
    </row>
    <row r="12" spans="1:2" x14ac:dyDescent="0.25">
      <c r="A12" s="418" t="s">
        <v>76</v>
      </c>
      <c r="B12" s="422">
        <v>33.981378697483102</v>
      </c>
    </row>
    <row r="13" spans="1:2" x14ac:dyDescent="0.25">
      <c r="A13" s="418" t="s">
        <v>165</v>
      </c>
      <c r="B13" s="422">
        <v>33.767129528894401</v>
      </c>
    </row>
    <row r="14" spans="1:2" x14ac:dyDescent="0.25">
      <c r="A14" s="418" t="s">
        <v>74</v>
      </c>
      <c r="B14" s="422">
        <v>32.401875114126902</v>
      </c>
    </row>
    <row r="15" spans="1:2" x14ac:dyDescent="0.25">
      <c r="A15" s="418" t="s">
        <v>97</v>
      </c>
      <c r="B15" s="422">
        <v>29.153780600257299</v>
      </c>
    </row>
    <row r="16" spans="1:2" x14ac:dyDescent="0.25">
      <c r="A16" s="419" t="s">
        <v>69</v>
      </c>
      <c r="B16" s="421">
        <v>14.335542516449401</v>
      </c>
    </row>
    <row r="17" spans="1:2" x14ac:dyDescent="0.25">
      <c r="A17" s="419" t="s">
        <v>98</v>
      </c>
      <c r="B17" s="421">
        <v>13.4311337532463</v>
      </c>
    </row>
    <row r="18" spans="1:2" x14ac:dyDescent="0.25">
      <c r="A18" s="419" t="s">
        <v>90</v>
      </c>
      <c r="B18" s="421">
        <v>10.3348004466666</v>
      </c>
    </row>
    <row r="19" spans="1:2" x14ac:dyDescent="0.25">
      <c r="A19" s="417" t="s">
        <v>88</v>
      </c>
      <c r="B19" s="422">
        <v>10.1635205044643</v>
      </c>
    </row>
    <row r="20" spans="1:2" x14ac:dyDescent="0.25">
      <c r="A20" s="420" t="s">
        <v>85</v>
      </c>
      <c r="B20" s="421">
        <v>7.9779849523736797</v>
      </c>
    </row>
    <row r="21" spans="1:2" x14ac:dyDescent="0.25">
      <c r="A21" s="418" t="s">
        <v>78</v>
      </c>
      <c r="B21" s="422">
        <v>7.8605328845350897</v>
      </c>
    </row>
    <row r="22" spans="1:2" x14ac:dyDescent="0.25">
      <c r="A22" s="417" t="s">
        <v>84</v>
      </c>
      <c r="B22" s="422">
        <v>6.2964002960945598</v>
      </c>
    </row>
    <row r="39" ht="17.25" customHeight="1" x14ac:dyDescent="0.25"/>
  </sheetData>
  <sortState ref="A3:C29">
    <sortCondition descending="1" ref="B3"/>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A2" sqref="A2"/>
    </sheetView>
  </sheetViews>
  <sheetFormatPr baseColWidth="10" defaultRowHeight="12.75" x14ac:dyDescent="0.2"/>
  <cols>
    <col min="1" max="1" width="25.85546875" customWidth="1"/>
    <col min="2" max="7" width="15.7109375" customWidth="1"/>
  </cols>
  <sheetData>
    <row r="1" spans="1:7" ht="45" x14ac:dyDescent="0.2">
      <c r="A1" s="117" t="s">
        <v>406</v>
      </c>
      <c r="B1" s="1" t="s">
        <v>1</v>
      </c>
      <c r="C1" s="1" t="s">
        <v>2</v>
      </c>
      <c r="D1" s="1" t="s">
        <v>3</v>
      </c>
      <c r="E1" s="1" t="s">
        <v>4</v>
      </c>
      <c r="F1" s="1" t="s">
        <v>310</v>
      </c>
      <c r="G1" s="1" t="s">
        <v>311</v>
      </c>
    </row>
    <row r="2" spans="1:7" ht="15" x14ac:dyDescent="0.25">
      <c r="A2" s="2" t="s">
        <v>6</v>
      </c>
      <c r="B2" s="3">
        <v>32.759132697486379</v>
      </c>
      <c r="C2" s="4">
        <v>1.3151817716089478</v>
      </c>
      <c r="D2" s="3">
        <v>83.113195566792697</v>
      </c>
      <c r="E2" s="3">
        <v>3.3367476727490617</v>
      </c>
      <c r="F2" s="5">
        <v>5372.392048074671</v>
      </c>
      <c r="G2" s="6">
        <v>215.68556642852823</v>
      </c>
    </row>
    <row r="3" spans="1:7" x14ac:dyDescent="0.2">
      <c r="A3" s="7" t="s">
        <v>7</v>
      </c>
      <c r="B3" s="8">
        <v>14.968812541599858</v>
      </c>
      <c r="C3" s="9">
        <v>1.2317280951817788</v>
      </c>
      <c r="D3" s="8">
        <v>37.977374299292997</v>
      </c>
      <c r="E3" s="8">
        <v>3.1250173502856908</v>
      </c>
      <c r="F3" s="10">
        <v>2454.8369521938534</v>
      </c>
      <c r="G3" s="10">
        <v>201.9994328009941</v>
      </c>
    </row>
    <row r="4" spans="1:7" ht="25.5" x14ac:dyDescent="0.2">
      <c r="A4" s="7" t="s">
        <v>8</v>
      </c>
      <c r="B4" s="8">
        <v>9.0872169675003356</v>
      </c>
      <c r="C4" s="9">
        <v>0.98519509906551028</v>
      </c>
      <c r="D4" s="8">
        <v>23.055178168245103</v>
      </c>
      <c r="E4" s="8">
        <v>2.4995384858391061</v>
      </c>
      <c r="F4" s="10">
        <v>1490.2742580567162</v>
      </c>
      <c r="G4" s="10">
        <v>161.56881700435883</v>
      </c>
    </row>
    <row r="5" spans="1:7" ht="25.5" x14ac:dyDescent="0.2">
      <c r="A5" s="7" t="s">
        <v>9</v>
      </c>
      <c r="B5" s="8">
        <v>2.3717188467009778</v>
      </c>
      <c r="C5" s="9">
        <v>0.54056121049987194</v>
      </c>
      <c r="D5" s="8">
        <v>6.0172878859650512</v>
      </c>
      <c r="E5" s="8">
        <v>1.3714578471592251</v>
      </c>
      <c r="F5" s="10">
        <v>388.95423727939067</v>
      </c>
      <c r="G5" s="10">
        <v>88.65029412118605</v>
      </c>
    </row>
    <row r="6" spans="1:7" x14ac:dyDescent="0.2">
      <c r="A6" s="7" t="s">
        <v>10</v>
      </c>
      <c r="B6" s="8">
        <v>1.5937666197618792</v>
      </c>
      <c r="C6" s="9">
        <v>0.60149508409731478</v>
      </c>
      <c r="D6" s="8">
        <v>4.043545290997864</v>
      </c>
      <c r="E6" s="8">
        <v>1.5260531778632975</v>
      </c>
      <c r="F6" s="10">
        <v>261.37258252727059</v>
      </c>
      <c r="G6" s="10">
        <v>98.643252756455638</v>
      </c>
    </row>
    <row r="7" spans="1:7" x14ac:dyDescent="0.2">
      <c r="A7" s="7" t="s">
        <v>11</v>
      </c>
      <c r="B7" s="8">
        <v>4.7376177219233329</v>
      </c>
      <c r="C7" s="9">
        <v>0.94620618218335006</v>
      </c>
      <c r="D7" s="8">
        <v>12.019809922291689</v>
      </c>
      <c r="E7" s="8">
        <v>2.4006197048173776</v>
      </c>
      <c r="F7" s="10">
        <v>776.95401801744038</v>
      </c>
      <c r="G7" s="10">
        <v>155.17476045362378</v>
      </c>
    </row>
    <row r="8" spans="1:7" ht="15" x14ac:dyDescent="0.25">
      <c r="A8" s="11" t="s">
        <v>12</v>
      </c>
      <c r="B8" s="3">
        <v>8.6128091519223293</v>
      </c>
      <c r="C8" s="4">
        <v>0.5643604713362893</v>
      </c>
      <c r="D8" s="3">
        <v>21.851558099342142</v>
      </c>
      <c r="E8" s="3">
        <v>1.4318389518272996</v>
      </c>
      <c r="F8" s="5">
        <v>1412.4729072245154</v>
      </c>
      <c r="G8" s="6">
        <v>92.553296097713769</v>
      </c>
    </row>
    <row r="9" spans="1:7" x14ac:dyDescent="0.2">
      <c r="A9" s="12" t="s">
        <v>13</v>
      </c>
      <c r="B9" s="8">
        <v>1.2211940799489098</v>
      </c>
      <c r="C9" s="9">
        <v>0.1387084730255638</v>
      </c>
      <c r="D9" s="8">
        <v>3.0982915002383788</v>
      </c>
      <c r="E9" s="8">
        <v>0.35191726691315789</v>
      </c>
      <c r="F9" s="10">
        <v>200.27188829626107</v>
      </c>
      <c r="G9" s="10">
        <v>22.747741961443872</v>
      </c>
    </row>
    <row r="10" spans="1:7" x14ac:dyDescent="0.2">
      <c r="A10" s="12" t="s">
        <v>14</v>
      </c>
      <c r="B10" s="8">
        <v>1.5761478039004708</v>
      </c>
      <c r="C10" s="9">
        <v>0.26209547621931434</v>
      </c>
      <c r="D10" s="8">
        <v>3.9988445932758845</v>
      </c>
      <c r="E10" s="8">
        <v>0.6649624327160224</v>
      </c>
      <c r="F10" s="10">
        <v>258.48315358223675</v>
      </c>
      <c r="G10" s="10">
        <v>42.982812313130339</v>
      </c>
    </row>
    <row r="11" spans="1:7" x14ac:dyDescent="0.2">
      <c r="A11" s="12" t="s">
        <v>15</v>
      </c>
      <c r="B11" s="8">
        <v>2.5942872220607054</v>
      </c>
      <c r="C11" s="9">
        <v>0.27306469736940281</v>
      </c>
      <c r="D11" s="8">
        <v>6.5819661110902157</v>
      </c>
      <c r="E11" s="8">
        <v>0.69279244369591186</v>
      </c>
      <c r="F11" s="10">
        <v>425.45473260621736</v>
      </c>
      <c r="G11" s="10">
        <v>44.781729183870013</v>
      </c>
    </row>
    <row r="12" spans="1:7" x14ac:dyDescent="0.2">
      <c r="A12" s="12" t="s">
        <v>16</v>
      </c>
      <c r="B12" s="8">
        <v>2.0621787844745323</v>
      </c>
      <c r="C12" s="9">
        <v>0.24694431145716408</v>
      </c>
      <c r="D12" s="8">
        <v>5.2319537940903356</v>
      </c>
      <c r="E12" s="8">
        <v>0.62652241259797092</v>
      </c>
      <c r="F12" s="10">
        <v>338.19066596562709</v>
      </c>
      <c r="G12" s="10">
        <v>40.498070185220129</v>
      </c>
    </row>
    <row r="13" spans="1:7" x14ac:dyDescent="0.2">
      <c r="A13" s="12" t="s">
        <v>17</v>
      </c>
      <c r="B13" s="8">
        <v>1.159001261537715</v>
      </c>
      <c r="C13" s="9">
        <v>0.17094362476374822</v>
      </c>
      <c r="D13" s="8">
        <v>2.9405021006473371</v>
      </c>
      <c r="E13" s="8">
        <v>0.43370107038810568</v>
      </c>
      <c r="F13" s="10">
        <v>190.07246677417388</v>
      </c>
      <c r="G13" s="10">
        <v>28.03420282308905</v>
      </c>
    </row>
    <row r="14" spans="1:7" ht="15" x14ac:dyDescent="0.25">
      <c r="A14" s="2" t="s">
        <v>18</v>
      </c>
      <c r="B14" s="13">
        <v>6.4080714900852618</v>
      </c>
      <c r="C14" s="14">
        <v>0.39049244381685566</v>
      </c>
      <c r="D14" s="13">
        <v>16.257918177495316</v>
      </c>
      <c r="E14" s="13">
        <v>0.99071837920774442</v>
      </c>
      <c r="F14" s="15">
        <v>1050.9030454115054</v>
      </c>
      <c r="G14" s="16">
        <v>64.03950065979285</v>
      </c>
    </row>
    <row r="15" spans="1:7" x14ac:dyDescent="0.2">
      <c r="A15" s="12" t="s">
        <v>19</v>
      </c>
      <c r="B15" s="8">
        <v>3.5779422187965615</v>
      </c>
      <c r="C15" s="9">
        <v>0.23168269174239992</v>
      </c>
      <c r="D15" s="8">
        <v>9.0775972033087555</v>
      </c>
      <c r="E15" s="8">
        <v>0.5878021572196428</v>
      </c>
      <c r="F15" s="10">
        <v>586.77097779845099</v>
      </c>
      <c r="G15" s="10">
        <v>37.995213801521373</v>
      </c>
    </row>
    <row r="16" spans="1:7" x14ac:dyDescent="0.2">
      <c r="A16" s="12" t="s">
        <v>20</v>
      </c>
      <c r="B16" s="8">
        <v>2.575068168328607</v>
      </c>
      <c r="C16" s="9">
        <v>0.32181847193490021</v>
      </c>
      <c r="D16" s="8">
        <v>6.5332054498665091</v>
      </c>
      <c r="E16" s="8">
        <v>0.81648564514603539</v>
      </c>
      <c r="F16" s="10">
        <v>422.30286981438695</v>
      </c>
      <c r="G16" s="10">
        <v>52.7771908833002</v>
      </c>
    </row>
    <row r="17" spans="1:7" x14ac:dyDescent="0.2">
      <c r="A17" s="12" t="s">
        <v>21</v>
      </c>
      <c r="B17" s="8">
        <v>0.25506110296009071</v>
      </c>
      <c r="C17" s="9">
        <v>4.2989760055347125E-2</v>
      </c>
      <c r="D17" s="8">
        <v>0.64711552432004615</v>
      </c>
      <c r="E17" s="8">
        <v>0.1090693202364212</v>
      </c>
      <c r="F17" s="10">
        <v>41.829197798667273</v>
      </c>
      <c r="G17" s="10">
        <v>7.0501819203445066</v>
      </c>
    </row>
    <row r="18" spans="1:7" ht="15" x14ac:dyDescent="0.25">
      <c r="A18" s="17" t="s">
        <v>22</v>
      </c>
      <c r="B18" s="3">
        <v>2.3372684964182922</v>
      </c>
      <c r="C18" s="4">
        <v>0.1431839166770309</v>
      </c>
      <c r="D18" s="3">
        <v>5.9298839022628496</v>
      </c>
      <c r="E18" s="3">
        <v>0.36327191500129513</v>
      </c>
      <c r="F18" s="5">
        <v>383.30449100493303</v>
      </c>
      <c r="G18" s="6">
        <v>23.481700277946953</v>
      </c>
    </row>
    <row r="19" spans="1:7" ht="25.5" x14ac:dyDescent="0.2">
      <c r="A19" s="7" t="s">
        <v>23</v>
      </c>
      <c r="B19" s="8">
        <v>0.52631796710449219</v>
      </c>
      <c r="C19" s="9">
        <v>6.3672177642211711E-2</v>
      </c>
      <c r="D19" s="8">
        <v>1.3353213143408071</v>
      </c>
      <c r="E19" s="8">
        <v>0.16154268189605533</v>
      </c>
      <c r="F19" s="10">
        <v>86.314448167547539</v>
      </c>
      <c r="G19" s="10">
        <v>10.442031662055062</v>
      </c>
    </row>
    <row r="20" spans="1:7" x14ac:dyDescent="0.2">
      <c r="A20" s="7" t="s">
        <v>24</v>
      </c>
      <c r="B20" s="8">
        <v>1.085779799887733</v>
      </c>
      <c r="C20" s="9">
        <v>0.10007565387180219</v>
      </c>
      <c r="D20" s="8">
        <v>2.7547319302951676</v>
      </c>
      <c r="E20" s="8">
        <v>0.25390194143814931</v>
      </c>
      <c r="F20" s="10">
        <v>178.06438335055648</v>
      </c>
      <c r="G20" s="10">
        <v>16.412084289032379</v>
      </c>
    </row>
    <row r="21" spans="1:7" x14ac:dyDescent="0.2">
      <c r="A21" s="7" t="s">
        <v>25</v>
      </c>
      <c r="B21" s="8">
        <v>0.72517072942606764</v>
      </c>
      <c r="C21" s="9">
        <v>0.10023501478832764</v>
      </c>
      <c r="D21" s="8">
        <v>1.8398306576268761</v>
      </c>
      <c r="E21" s="8">
        <v>0.25430625601946605</v>
      </c>
      <c r="F21" s="10">
        <v>118.9256594868291</v>
      </c>
      <c r="G21" s="10">
        <v>16.438218965082001</v>
      </c>
    </row>
    <row r="22" spans="1:7" ht="15" x14ac:dyDescent="0.25">
      <c r="A22" s="2" t="s">
        <v>26</v>
      </c>
      <c r="B22" s="13">
        <v>3.0316602797141745</v>
      </c>
      <c r="C22" s="14">
        <v>0.24249289845197514</v>
      </c>
      <c r="D22" s="13">
        <v>7.691625295662833</v>
      </c>
      <c r="E22" s="13">
        <v>0.61522873266250622</v>
      </c>
      <c r="F22" s="15">
        <v>497.18250265062704</v>
      </c>
      <c r="G22" s="16">
        <v>39.768052817159344</v>
      </c>
    </row>
    <row r="23" spans="1:7" ht="15" x14ac:dyDescent="0.25">
      <c r="A23" s="18" t="s">
        <v>27</v>
      </c>
      <c r="B23" s="3">
        <v>13.912847770848886</v>
      </c>
      <c r="C23" s="4">
        <v>0.65771003416255058</v>
      </c>
      <c r="D23" s="3">
        <v>35.298286079420706</v>
      </c>
      <c r="E23" s="3">
        <v>1.6686761276738069</v>
      </c>
      <c r="F23" s="5">
        <v>2281.6621374080878</v>
      </c>
      <c r="G23" s="6">
        <v>107.86232316049477</v>
      </c>
    </row>
    <row r="24" spans="1:7" x14ac:dyDescent="0.2">
      <c r="A24" s="7" t="s">
        <v>28</v>
      </c>
      <c r="B24" s="8">
        <v>4.211986715910526</v>
      </c>
      <c r="C24" s="9">
        <v>0.43767656590062631</v>
      </c>
      <c r="D24" s="8">
        <v>10.686231496936596</v>
      </c>
      <c r="E24" s="8">
        <v>1.1104292153464792</v>
      </c>
      <c r="F24" s="10">
        <v>690.75222925209334</v>
      </c>
      <c r="G24" s="10">
        <v>71.777544417516779</v>
      </c>
    </row>
    <row r="25" spans="1:7" x14ac:dyDescent="0.2">
      <c r="A25" s="7" t="s">
        <v>29</v>
      </c>
      <c r="B25" s="8">
        <v>3.0261267021666747</v>
      </c>
      <c r="C25" s="9">
        <v>0.47173997961523045</v>
      </c>
      <c r="D25" s="8">
        <v>7.6775860560670708</v>
      </c>
      <c r="E25" s="8">
        <v>1.1968515022818014</v>
      </c>
      <c r="F25" s="10">
        <v>496.27501378979173</v>
      </c>
      <c r="G25" s="10">
        <v>77.36383434346034</v>
      </c>
    </row>
    <row r="26" spans="1:7" x14ac:dyDescent="0.2">
      <c r="A26" s="7" t="s">
        <v>30</v>
      </c>
      <c r="B26" s="8">
        <v>6.6747343527716794</v>
      </c>
      <c r="C26" s="9">
        <v>0.43572512888604592</v>
      </c>
      <c r="D26" s="8">
        <v>16.934468526417028</v>
      </c>
      <c r="E26" s="8">
        <v>1.1054782244967871</v>
      </c>
      <c r="F26" s="10">
        <v>1094.6348943662022</v>
      </c>
      <c r="G26" s="10">
        <v>71.457515044448087</v>
      </c>
    </row>
    <row r="27" spans="1:7" ht="15" x14ac:dyDescent="0.25">
      <c r="A27" s="2" t="s">
        <v>31</v>
      </c>
      <c r="B27" s="13">
        <v>14.694659926717803</v>
      </c>
      <c r="C27" s="14">
        <v>0.46298880983436713</v>
      </c>
      <c r="D27" s="13">
        <v>37.281821700075731</v>
      </c>
      <c r="E27" s="13">
        <v>1.1746489094307726</v>
      </c>
      <c r="F27" s="15">
        <v>2409.8768080486379</v>
      </c>
      <c r="G27" s="16">
        <v>75.928670739581747</v>
      </c>
    </row>
    <row r="28" spans="1:7" x14ac:dyDescent="0.2">
      <c r="A28" s="7" t="s">
        <v>32</v>
      </c>
      <c r="B28" s="8">
        <v>2.3429586342211279</v>
      </c>
      <c r="C28" s="9">
        <v>0.13535284996291996</v>
      </c>
      <c r="D28" s="8">
        <v>5.9443203508824238</v>
      </c>
      <c r="E28" s="8">
        <v>0.34340371564092426</v>
      </c>
      <c r="F28" s="10">
        <v>384.23765524242054</v>
      </c>
      <c r="G28" s="10">
        <v>22.197430607826533</v>
      </c>
    </row>
    <row r="29" spans="1:7" x14ac:dyDescent="0.2">
      <c r="A29" s="7" t="s">
        <v>33</v>
      </c>
      <c r="B29" s="8">
        <v>0.78312789511459713</v>
      </c>
      <c r="C29" s="9">
        <v>0.11980492049203731</v>
      </c>
      <c r="D29" s="8">
        <v>1.9868737826952445</v>
      </c>
      <c r="E29" s="8">
        <v>0.30395706378034787</v>
      </c>
      <c r="F29" s="10">
        <v>128.43044763092712</v>
      </c>
      <c r="G29" s="10">
        <v>19.647620348051099</v>
      </c>
    </row>
    <row r="30" spans="1:7" ht="25.5" x14ac:dyDescent="0.2">
      <c r="A30" s="7" t="s">
        <v>34</v>
      </c>
      <c r="B30" s="8">
        <v>3.663387392189883</v>
      </c>
      <c r="C30" s="9">
        <v>0.21904307562811259</v>
      </c>
      <c r="D30" s="8">
        <v>9.294380152724953</v>
      </c>
      <c r="E30" s="8">
        <v>0.55573418717608447</v>
      </c>
      <c r="F30" s="10">
        <v>600.78371050183739</v>
      </c>
      <c r="G30" s="10">
        <v>35.922357547047817</v>
      </c>
    </row>
    <row r="31" spans="1:7" x14ac:dyDescent="0.2">
      <c r="A31" s="7" t="s">
        <v>35</v>
      </c>
      <c r="B31" s="8">
        <v>1.2030562219642862</v>
      </c>
      <c r="C31" s="9">
        <v>0.17129157380374146</v>
      </c>
      <c r="D31" s="8">
        <v>3.0522739407455903</v>
      </c>
      <c r="E31" s="8">
        <v>0.43458385189747251</v>
      </c>
      <c r="F31" s="10">
        <v>197.29733811797826</v>
      </c>
      <c r="G31" s="10">
        <v>28.0912653428101</v>
      </c>
    </row>
    <row r="32" spans="1:7" ht="25.5" x14ac:dyDescent="0.2">
      <c r="A32" s="7" t="s">
        <v>36</v>
      </c>
      <c r="B32" s="8">
        <v>0.55790952938181215</v>
      </c>
      <c r="C32" s="9">
        <v>9.307481606498802E-2</v>
      </c>
      <c r="D32" s="8">
        <v>1.4154722669945958</v>
      </c>
      <c r="E32" s="8">
        <v>0.23614011583848116</v>
      </c>
      <c r="F32" s="10">
        <v>91.49536243448577</v>
      </c>
      <c r="G32" s="10">
        <v>15.263969480544951</v>
      </c>
    </row>
    <row r="33" spans="1:7" x14ac:dyDescent="0.2">
      <c r="A33" s="7" t="s">
        <v>37</v>
      </c>
      <c r="B33" s="8">
        <v>4.0067494456224102</v>
      </c>
      <c r="C33" s="9">
        <v>0.25871837316896085</v>
      </c>
      <c r="D33" s="8">
        <v>10.165524018488616</v>
      </c>
      <c r="E33" s="8">
        <v>0.65639438456697063</v>
      </c>
      <c r="F33" s="10">
        <v>657.09397922922176</v>
      </c>
      <c r="G33" s="10">
        <v>42.428978310844933</v>
      </c>
    </row>
    <row r="34" spans="1:7" x14ac:dyDescent="0.2">
      <c r="A34" s="7" t="s">
        <v>38</v>
      </c>
      <c r="B34" s="8">
        <v>2.1374708082236764</v>
      </c>
      <c r="C34" s="9">
        <v>0.18569270595666409</v>
      </c>
      <c r="D34" s="8">
        <v>5.4229771875442898</v>
      </c>
      <c r="E34" s="8">
        <v>0.47112096428265254</v>
      </c>
      <c r="F34" s="10">
        <v>350.53831489176571</v>
      </c>
      <c r="G34" s="10">
        <v>30.453004543175762</v>
      </c>
    </row>
    <row r="35" spans="1:7" ht="15" x14ac:dyDescent="0.25">
      <c r="A35" s="11" t="s">
        <v>39</v>
      </c>
      <c r="B35" s="3">
        <v>4.5703719854660037</v>
      </c>
      <c r="C35" s="4">
        <v>0.35012812524755127</v>
      </c>
      <c r="D35" s="3">
        <v>11.595490764325797</v>
      </c>
      <c r="E35" s="3">
        <v>0.88831006656556222</v>
      </c>
      <c r="F35" s="5">
        <v>749.52625694345159</v>
      </c>
      <c r="G35" s="6">
        <v>57.419882670812235</v>
      </c>
    </row>
    <row r="36" spans="1:7" x14ac:dyDescent="0.2">
      <c r="A36" s="7" t="s">
        <v>40</v>
      </c>
      <c r="B36" s="8">
        <v>0.31819288171924887</v>
      </c>
      <c r="C36" s="9">
        <v>5.2760947607964896E-2</v>
      </c>
      <c r="D36" s="8">
        <v>0.80728716020990632</v>
      </c>
      <c r="E36" s="8">
        <v>0.13385980017616775</v>
      </c>
      <c r="F36" s="10">
        <v>52.182605787778506</v>
      </c>
      <c r="G36" s="10">
        <v>8.6526251471750459</v>
      </c>
    </row>
    <row r="37" spans="1:7" x14ac:dyDescent="0.2">
      <c r="A37" s="7" t="s">
        <v>41</v>
      </c>
      <c r="B37" s="8">
        <v>0.738607255928453</v>
      </c>
      <c r="C37" s="9">
        <v>0.10385966037503384</v>
      </c>
      <c r="D37" s="8">
        <v>1.873920469016078</v>
      </c>
      <c r="E37" s="8">
        <v>0.26350234433749836</v>
      </c>
      <c r="F37" s="10">
        <v>121.12920647330651</v>
      </c>
      <c r="G37" s="10">
        <v>17.032649144505019</v>
      </c>
    </row>
    <row r="38" spans="1:7" x14ac:dyDescent="0.2">
      <c r="A38" s="7" t="s">
        <v>42</v>
      </c>
      <c r="B38" s="8">
        <v>0.21000489256590713</v>
      </c>
      <c r="C38" s="9">
        <v>4.5461904118058262E-2</v>
      </c>
      <c r="D38" s="8">
        <v>0.53280341292896294</v>
      </c>
      <c r="E38" s="8">
        <v>0.11534139693792561</v>
      </c>
      <c r="F38" s="10">
        <v>34.44012469122616</v>
      </c>
      <c r="G38" s="10">
        <v>7.4556055689755771</v>
      </c>
    </row>
    <row r="39" spans="1:7" x14ac:dyDescent="0.2">
      <c r="A39" s="7" t="s">
        <v>43</v>
      </c>
      <c r="B39" s="8">
        <v>3.3035669552523954</v>
      </c>
      <c r="C39" s="9">
        <v>0.31656239211337062</v>
      </c>
      <c r="D39" s="8">
        <v>8.3814797221708535</v>
      </c>
      <c r="E39" s="8">
        <v>0.80315044503083266</v>
      </c>
      <c r="F39" s="10">
        <v>541.77431999114049</v>
      </c>
      <c r="G39" s="10">
        <v>51.915210754033893</v>
      </c>
    </row>
    <row r="40" spans="1:7" ht="15" x14ac:dyDescent="0.25">
      <c r="A40" s="2" t="s">
        <v>44</v>
      </c>
      <c r="B40" s="13">
        <v>5.3486192652972537</v>
      </c>
      <c r="C40" s="14">
        <v>0.42721652857233905</v>
      </c>
      <c r="D40" s="13">
        <v>13.569981937985663</v>
      </c>
      <c r="E40" s="13">
        <v>1.0838910546408813</v>
      </c>
      <c r="F40" s="15">
        <v>877.15629941774353</v>
      </c>
      <c r="G40" s="16">
        <v>70.062132050407101</v>
      </c>
    </row>
    <row r="41" spans="1:7" x14ac:dyDescent="0.2">
      <c r="A41" s="7" t="s">
        <v>45</v>
      </c>
      <c r="B41" s="8">
        <v>2.6660998344521332</v>
      </c>
      <c r="C41" s="9">
        <v>0.28614328506871228</v>
      </c>
      <c r="D41" s="8">
        <v>6.7641618899885074</v>
      </c>
      <c r="E41" s="8">
        <v>0.72597412854782994</v>
      </c>
      <c r="F41" s="10">
        <v>437.23176929781391</v>
      </c>
      <c r="G41" s="10">
        <v>46.926575361717966</v>
      </c>
    </row>
    <row r="42" spans="1:7" ht="25.5" x14ac:dyDescent="0.2">
      <c r="A42" s="7" t="s">
        <v>46</v>
      </c>
      <c r="B42" s="8">
        <v>2.4156234503139156</v>
      </c>
      <c r="C42" s="9">
        <v>0.29869573482988854</v>
      </c>
      <c r="D42" s="8">
        <v>6.128678255791435</v>
      </c>
      <c r="E42" s="8">
        <v>0.7578209488369102</v>
      </c>
      <c r="F42" s="10">
        <v>396.15445059096328</v>
      </c>
      <c r="G42" s="10">
        <v>48.985136615568692</v>
      </c>
    </row>
    <row r="43" spans="1:7" x14ac:dyDescent="0.2">
      <c r="A43" s="7" t="s">
        <v>47</v>
      </c>
      <c r="B43" s="8">
        <v>0.26689598053120261</v>
      </c>
      <c r="C43" s="9">
        <v>0.11859050861411755</v>
      </c>
      <c r="D43" s="8">
        <v>0.67714179220571413</v>
      </c>
      <c r="E43" s="8">
        <v>0.30087597940487759</v>
      </c>
      <c r="F43" s="10">
        <v>43.770079528965873</v>
      </c>
      <c r="G43" s="10">
        <v>19.448460719001325</v>
      </c>
    </row>
    <row r="44" spans="1:7" ht="15" x14ac:dyDescent="0.25">
      <c r="A44" s="11" t="s">
        <v>48</v>
      </c>
      <c r="B44" s="3">
        <v>3.4394079395264674</v>
      </c>
      <c r="C44" s="4">
        <v>0.24322465382196479</v>
      </c>
      <c r="D44" s="3">
        <v>8.7261218833726009</v>
      </c>
      <c r="E44" s="3">
        <v>0.61708526921170692</v>
      </c>
      <c r="F44" s="5">
        <v>564.05180305077783</v>
      </c>
      <c r="G44" s="6">
        <v>39.888058336449845</v>
      </c>
    </row>
    <row r="45" spans="1:7" x14ac:dyDescent="0.2">
      <c r="A45" s="7" t="s">
        <v>49</v>
      </c>
      <c r="B45" s="8">
        <v>1.79135401489749</v>
      </c>
      <c r="C45" s="9">
        <v>0.1345910970539691</v>
      </c>
      <c r="D45" s="8">
        <v>4.5448442711964221</v>
      </c>
      <c r="E45" s="8">
        <v>0.34147107233562501</v>
      </c>
      <c r="F45" s="10">
        <v>293.7762777114167</v>
      </c>
      <c r="G45" s="10">
        <v>22.072505588948992</v>
      </c>
    </row>
    <row r="46" spans="1:7" x14ac:dyDescent="0.2">
      <c r="A46" s="7" t="s">
        <v>50</v>
      </c>
      <c r="B46" s="8">
        <v>0.65593910132046329</v>
      </c>
      <c r="C46" s="9">
        <v>8.1723679776924033E-2</v>
      </c>
      <c r="D46" s="8">
        <v>1.6641830939601474</v>
      </c>
      <c r="E46" s="8">
        <v>0.20734114796203396</v>
      </c>
      <c r="F46" s="10">
        <v>107.57189588922475</v>
      </c>
      <c r="G46" s="10">
        <v>13.402419759624348</v>
      </c>
    </row>
    <row r="47" spans="1:7" x14ac:dyDescent="0.2">
      <c r="A47" s="7" t="s">
        <v>51</v>
      </c>
      <c r="B47" s="8">
        <v>0.72143071390229285</v>
      </c>
      <c r="C47" s="9">
        <v>0.16436072235032939</v>
      </c>
      <c r="D47" s="8">
        <v>1.8303418642415072</v>
      </c>
      <c r="E47" s="8">
        <v>0.41699958867502074</v>
      </c>
      <c r="F47" s="10">
        <v>118.3123090100277</v>
      </c>
      <c r="G47" s="10">
        <v>26.954628070433383</v>
      </c>
    </row>
    <row r="48" spans="1:7" x14ac:dyDescent="0.2">
      <c r="A48" s="7" t="s">
        <v>52</v>
      </c>
      <c r="B48" s="8">
        <v>0.27068410940622001</v>
      </c>
      <c r="C48" s="9">
        <v>8.8078225649125305E-2</v>
      </c>
      <c r="D48" s="8">
        <v>0.68675265397452079</v>
      </c>
      <c r="E48" s="8">
        <v>0.22346326629439581</v>
      </c>
      <c r="F48" s="10">
        <v>44.391320440108402</v>
      </c>
      <c r="G48" s="10">
        <v>14.444544776431014</v>
      </c>
    </row>
    <row r="49" spans="1:7" ht="15" x14ac:dyDescent="0.25">
      <c r="A49" s="2" t="s">
        <v>53</v>
      </c>
      <c r="B49" s="13">
        <v>4.2655579754274582</v>
      </c>
      <c r="C49" s="14">
        <v>0.57777061993629142</v>
      </c>
      <c r="D49" s="13">
        <v>10.822147139457003</v>
      </c>
      <c r="E49" s="13">
        <v>1.4658618398403647</v>
      </c>
      <c r="F49" s="15">
        <v>699.53774293744777</v>
      </c>
      <c r="G49" s="16">
        <v>94.752517193322291</v>
      </c>
    </row>
    <row r="50" spans="1:7" x14ac:dyDescent="0.2">
      <c r="A50" s="7" t="s">
        <v>54</v>
      </c>
      <c r="B50" s="8">
        <v>0.17748426383484159</v>
      </c>
      <c r="C50" s="9">
        <v>0.32196770244288103</v>
      </c>
      <c r="D50" s="8">
        <v>0.45029532577537656</v>
      </c>
      <c r="E50" s="8">
        <v>0.81686425786783345</v>
      </c>
      <c r="F50" s="10">
        <v>29.106846523987901</v>
      </c>
      <c r="G50" s="10">
        <v>52.801664205039501</v>
      </c>
    </row>
    <row r="51" spans="1:7" x14ac:dyDescent="0.2">
      <c r="A51" s="7" t="s">
        <v>55</v>
      </c>
      <c r="B51" s="8">
        <v>4.0880737115926165</v>
      </c>
      <c r="C51" s="9">
        <v>0.56115751141356474</v>
      </c>
      <c r="D51" s="8">
        <v>10.371851813681628</v>
      </c>
      <c r="E51" s="8">
        <v>1.4237127222073553</v>
      </c>
      <c r="F51" s="10">
        <v>670.43089641345989</v>
      </c>
      <c r="G51" s="10">
        <v>92.028021006396486</v>
      </c>
    </row>
    <row r="52" spans="1:7" ht="15" x14ac:dyDescent="0.25">
      <c r="A52" s="11" t="s">
        <v>56</v>
      </c>
      <c r="B52" s="3">
        <v>0.6195930210896996</v>
      </c>
      <c r="C52" s="4">
        <v>9.9471696966148021E-2</v>
      </c>
      <c r="D52" s="3">
        <v>1.5719694538066769</v>
      </c>
      <c r="E52" s="3">
        <v>0.25236964237281417</v>
      </c>
      <c r="F52" s="5">
        <v>101.61125602083709</v>
      </c>
      <c r="G52" s="6">
        <v>16.313037305484947</v>
      </c>
    </row>
    <row r="53" spans="1:7" x14ac:dyDescent="0.2">
      <c r="A53" s="7" t="s">
        <v>57</v>
      </c>
      <c r="B53" s="8">
        <v>0.28697125730767292</v>
      </c>
      <c r="C53" s="9">
        <v>5.8203326633905948E-2</v>
      </c>
      <c r="D53" s="8">
        <v>0.72807477691529698</v>
      </c>
      <c r="E53" s="8">
        <v>0.14766766000288278</v>
      </c>
      <c r="F53" s="10">
        <v>47.062360137026133</v>
      </c>
      <c r="G53" s="10">
        <v>9.5451577447739311</v>
      </c>
    </row>
    <row r="54" spans="1:7" ht="25.5" x14ac:dyDescent="0.2">
      <c r="A54" s="7" t="s">
        <v>58</v>
      </c>
      <c r="B54" s="8">
        <v>8.1083845702838147E-3</v>
      </c>
      <c r="C54" s="9">
        <v>5.8367020010161828E-3</v>
      </c>
      <c r="D54" s="8">
        <v>2.0571782493267066E-2</v>
      </c>
      <c r="E54" s="8">
        <v>1.4808296646778157E-2</v>
      </c>
      <c r="F54" s="10">
        <v>1.3297489036230379</v>
      </c>
      <c r="G54" s="10">
        <v>0.95720029302384124</v>
      </c>
    </row>
    <row r="55" spans="1:7" x14ac:dyDescent="0.2">
      <c r="A55" s="7" t="s">
        <v>59</v>
      </c>
      <c r="B55" s="8">
        <v>5.3053991202090194E-2</v>
      </c>
      <c r="C55" s="9">
        <v>3.3403461580560095E-2</v>
      </c>
      <c r="D55" s="8">
        <v>0.13460328107882305</v>
      </c>
      <c r="E55" s="8">
        <v>8.4747922376039023E-2</v>
      </c>
      <c r="F55" s="10">
        <v>8.7006833509546215</v>
      </c>
      <c r="G55" s="10">
        <v>5.4780599056378128</v>
      </c>
    </row>
    <row r="56" spans="1:7" x14ac:dyDescent="0.2">
      <c r="A56" s="7" t="s">
        <v>60</v>
      </c>
      <c r="B56" s="8">
        <v>0.16087959991907153</v>
      </c>
      <c r="C56" s="9">
        <v>5.4030428255874507E-2</v>
      </c>
      <c r="D56" s="8">
        <v>0.4081676329546764</v>
      </c>
      <c r="E56" s="8">
        <v>0.13708059952797921</v>
      </c>
      <c r="F56" s="10">
        <v>26.383735225352076</v>
      </c>
      <c r="G56" s="10">
        <v>8.8608158767952343</v>
      </c>
    </row>
    <row r="57" spans="1:7" x14ac:dyDescent="0.2">
      <c r="A57" s="7" t="s">
        <v>61</v>
      </c>
      <c r="B57" s="8">
        <v>0.11057978809058126</v>
      </c>
      <c r="C57" s="9">
        <v>4.4560975367173905E-2</v>
      </c>
      <c r="D57" s="8">
        <v>0.28055198036461376</v>
      </c>
      <c r="E57" s="8">
        <v>0.11305565060405694</v>
      </c>
      <c r="F57" s="10">
        <v>18.134728403881244</v>
      </c>
      <c r="G57" s="10">
        <v>7.3078561611438992</v>
      </c>
    </row>
    <row r="58" spans="1:7" ht="15" x14ac:dyDescent="0.25">
      <c r="A58" s="19" t="s">
        <v>62</v>
      </c>
      <c r="B58" s="20">
        <f>B2+B8+B14+B18+B22+B23+B27+B35+B40+B44+B49+B52</f>
        <v>100</v>
      </c>
      <c r="C58" s="20"/>
      <c r="D58" s="20">
        <f t="shared" ref="D58:F58" si="0">D2+D8+D14+D18+D22+D23+D27+D35+D40+D44+D49+D52</f>
        <v>253.71</v>
      </c>
      <c r="E58" s="20"/>
      <c r="F58" s="20">
        <f t="shared" si="0"/>
        <v>16399.677298193237</v>
      </c>
      <c r="G58" s="15"/>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election activeCell="F13" sqref="F13"/>
    </sheetView>
  </sheetViews>
  <sheetFormatPr baseColWidth="10" defaultRowHeight="12.75" x14ac:dyDescent="0.2"/>
  <cols>
    <col min="1" max="1" width="38.7109375" customWidth="1"/>
    <col min="2" max="2" width="13.140625" customWidth="1"/>
  </cols>
  <sheetData>
    <row r="2" spans="1:4" x14ac:dyDescent="0.2">
      <c r="A2" t="s">
        <v>328</v>
      </c>
      <c r="B2" t="s">
        <v>322</v>
      </c>
      <c r="C2" t="s">
        <v>323</v>
      </c>
      <c r="D2" t="s">
        <v>324</v>
      </c>
    </row>
    <row r="3" spans="1:4" x14ac:dyDescent="0.2">
      <c r="A3" t="s">
        <v>6</v>
      </c>
      <c r="B3" s="424">
        <v>0.30023681258540424</v>
      </c>
      <c r="C3" s="481">
        <v>2.2367015156338223E-3</v>
      </c>
      <c r="D3" s="36">
        <v>4295117.8180623632</v>
      </c>
    </row>
    <row r="4" spans="1:4" x14ac:dyDescent="0.2">
      <c r="A4" t="s">
        <v>325</v>
      </c>
      <c r="B4" s="424">
        <v>3.9578986221717134E-2</v>
      </c>
      <c r="C4" s="481">
        <v>5.1037989173811152E-3</v>
      </c>
      <c r="D4" s="36">
        <v>562577.53354567057</v>
      </c>
    </row>
    <row r="5" spans="1:4" x14ac:dyDescent="0.2">
      <c r="A5" t="s">
        <v>22</v>
      </c>
      <c r="B5" s="424">
        <v>4.5018511350078769E-2</v>
      </c>
      <c r="C5" s="481">
        <v>7.2720896801782052E-3</v>
      </c>
      <c r="D5" s="36">
        <v>639890.62140855927</v>
      </c>
    </row>
    <row r="6" spans="1:4" x14ac:dyDescent="0.2">
      <c r="A6" t="s">
        <v>26</v>
      </c>
      <c r="B6" s="424">
        <v>1.1489319045383792E-2</v>
      </c>
      <c r="C6" s="481">
        <v>3.4229999081847708E-3</v>
      </c>
      <c r="D6" s="36">
        <v>164355.38200388919</v>
      </c>
    </row>
    <row r="7" spans="1:4" x14ac:dyDescent="0.2">
      <c r="A7" t="s">
        <v>31</v>
      </c>
      <c r="B7" s="424">
        <v>4.1490034094774912E-2</v>
      </c>
      <c r="C7" s="481">
        <v>1.1305298302857656E-2</v>
      </c>
      <c r="D7" s="36">
        <v>593915.45120035112</v>
      </c>
    </row>
    <row r="8" spans="1:4" x14ac:dyDescent="0.2">
      <c r="A8" t="s">
        <v>321</v>
      </c>
      <c r="B8" s="424">
        <v>0.16424236575003143</v>
      </c>
      <c r="C8" s="481">
        <v>3.8235514120438623E-2</v>
      </c>
      <c r="D8" s="36">
        <v>2337374.6016754066</v>
      </c>
    </row>
    <row r="9" spans="1:4" x14ac:dyDescent="0.2">
      <c r="A9" t="s">
        <v>326</v>
      </c>
      <c r="B9" s="424">
        <v>4.0264592431795448E-2</v>
      </c>
      <c r="C9" s="481">
        <v>6.4207350495047947E-3</v>
      </c>
      <c r="D9" s="36">
        <v>577104.86275994929</v>
      </c>
    </row>
    <row r="10" spans="1:4" x14ac:dyDescent="0.2">
      <c r="A10" t="s">
        <v>53</v>
      </c>
      <c r="B10" s="424">
        <v>0.31278357383674499</v>
      </c>
      <c r="C10" s="481">
        <v>2.0997848521332491E-2</v>
      </c>
      <c r="D10" s="36">
        <v>4466431.6635322813</v>
      </c>
    </row>
    <row r="11" spans="1:4" x14ac:dyDescent="0.2">
      <c r="A11" t="s">
        <v>327</v>
      </c>
      <c r="B11" s="424">
        <v>4.48958046840469E-2</v>
      </c>
      <c r="C11" s="481">
        <v>1.0331447465287177E-2</v>
      </c>
      <c r="D11" s="36">
        <v>636594.90481119556</v>
      </c>
    </row>
    <row r="12" spans="1:4" x14ac:dyDescent="0.2">
      <c r="B12" s="424">
        <f>SUBTOTAL(109,Tableau6[%])</f>
        <v>0.99999999999997757</v>
      </c>
      <c r="C12" s="481"/>
      <c r="D12" s="36">
        <f>SUBTOTAL(109,Tableau6[Tonnages])</f>
        <v>14273362.838999668</v>
      </c>
    </row>
  </sheetData>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65"/>
  <sheetViews>
    <sheetView topLeftCell="A43" workbookViewId="0">
      <selection activeCell="F5" sqref="F5"/>
    </sheetView>
  </sheetViews>
  <sheetFormatPr baseColWidth="10" defaultRowHeight="12.75" x14ac:dyDescent="0.2"/>
  <cols>
    <col min="1" max="1" width="42.85546875" customWidth="1"/>
    <col min="2" max="2" width="16.140625" bestFit="1" customWidth="1"/>
    <col min="3" max="3" width="14.28515625" bestFit="1" customWidth="1"/>
    <col min="4" max="4" width="28.42578125" bestFit="1" customWidth="1"/>
  </cols>
  <sheetData>
    <row r="4" spans="1:4" x14ac:dyDescent="0.2">
      <c r="A4" t="s">
        <v>63</v>
      </c>
      <c r="B4" t="s">
        <v>366</v>
      </c>
      <c r="C4" t="s">
        <v>367</v>
      </c>
      <c r="D4" t="s">
        <v>368</v>
      </c>
    </row>
    <row r="5" spans="1:4" x14ac:dyDescent="0.2">
      <c r="A5" s="482" t="s">
        <v>64</v>
      </c>
      <c r="B5" s="483">
        <v>1.7143592765962504E-3</v>
      </c>
      <c r="C5" s="484">
        <v>9.5421079805579956E-2</v>
      </c>
      <c r="D5" s="485">
        <v>24517.072166614595</v>
      </c>
    </row>
    <row r="6" spans="1:4" x14ac:dyDescent="0.2">
      <c r="A6" s="482" t="s">
        <v>67</v>
      </c>
      <c r="B6" s="483">
        <v>1.2463574164373446E-4</v>
      </c>
      <c r="C6" s="484">
        <v>6.9371730260111486E-3</v>
      </c>
      <c r="D6" s="485">
        <v>1782.2416193761899</v>
      </c>
    </row>
    <row r="7" spans="1:4" x14ac:dyDescent="0.2">
      <c r="A7" s="482" t="s">
        <v>68</v>
      </c>
      <c r="B7" s="483">
        <v>0.29839781756716427</v>
      </c>
      <c r="C7" s="484">
        <v>0.12131189873179112</v>
      </c>
      <c r="D7" s="485">
        <v>4268818.5042763725</v>
      </c>
    </row>
    <row r="8" spans="1:4" x14ac:dyDescent="0.2">
      <c r="A8" s="486" t="s">
        <v>12</v>
      </c>
      <c r="B8" s="487">
        <v>1.0952810555877678E-2</v>
      </c>
      <c r="C8" s="488">
        <v>0.23406119272734982</v>
      </c>
      <c r="D8" s="489">
        <v>156187.26914394379</v>
      </c>
    </row>
    <row r="9" spans="1:4" x14ac:dyDescent="0.2">
      <c r="A9" s="486" t="s">
        <v>329</v>
      </c>
      <c r="B9" s="487">
        <v>1.5601011361128041E-3</v>
      </c>
      <c r="C9" s="488">
        <v>9.7079146550396497E-2</v>
      </c>
      <c r="D9" s="489">
        <v>22296.560379854585</v>
      </c>
    </row>
    <row r="10" spans="1:4" x14ac:dyDescent="0.2">
      <c r="A10" s="490" t="s">
        <v>74</v>
      </c>
      <c r="B10" s="491">
        <v>1.1240613201184174E-3</v>
      </c>
      <c r="C10" s="492">
        <v>2.9234678444360077E-2</v>
      </c>
      <c r="D10" s="493">
        <v>16060.284587574546</v>
      </c>
    </row>
    <row r="11" spans="1:4" x14ac:dyDescent="0.2">
      <c r="A11" s="490" t="s">
        <v>75</v>
      </c>
      <c r="B11" s="491">
        <v>2.5407261846818185E-2</v>
      </c>
      <c r="C11" s="492">
        <v>0.13113367463923151</v>
      </c>
      <c r="D11" s="493">
        <v>360390.58208534122</v>
      </c>
    </row>
    <row r="12" spans="1:4" x14ac:dyDescent="0.2">
      <c r="A12" s="490" t="s">
        <v>76</v>
      </c>
      <c r="B12" s="491">
        <v>5.3475136279005297E-4</v>
      </c>
      <c r="C12" s="492">
        <v>1.8871199376773538E-2</v>
      </c>
      <c r="D12" s="493">
        <v>7642.8373489564638</v>
      </c>
    </row>
    <row r="13" spans="1:4" x14ac:dyDescent="0.2">
      <c r="A13" s="494" t="s">
        <v>77</v>
      </c>
      <c r="B13" s="495">
        <v>4.5557047046618186E-5</v>
      </c>
      <c r="C13" s="496">
        <v>3.7603451961419243E-3</v>
      </c>
      <c r="D13" s="497">
        <v>651.44582402886113</v>
      </c>
    </row>
    <row r="14" spans="1:4" x14ac:dyDescent="0.2">
      <c r="A14" s="494" t="s">
        <v>78</v>
      </c>
      <c r="B14" s="495">
        <v>2.6154250933708317E-4</v>
      </c>
      <c r="C14" s="496">
        <v>1.4320957896260263E-2</v>
      </c>
      <c r="D14" s="497">
        <v>3739.95225297659</v>
      </c>
    </row>
    <row r="15" spans="1:4" x14ac:dyDescent="0.2">
      <c r="A15" s="494" t="s">
        <v>330</v>
      </c>
      <c r="B15" s="495">
        <v>2.9175593186431051E-2</v>
      </c>
      <c r="C15" s="496">
        <v>0.15116727419441012</v>
      </c>
      <c r="D15" s="497">
        <v>413563.39557001268</v>
      </c>
    </row>
    <row r="16" spans="1:4" x14ac:dyDescent="0.2">
      <c r="A16" s="494" t="s">
        <v>331</v>
      </c>
      <c r="B16" s="495">
        <v>5.7039284337533059E-4</v>
      </c>
      <c r="C16" s="496">
        <v>2.1086264379919929E-2</v>
      </c>
      <c r="D16" s="497">
        <v>8158.971069502536</v>
      </c>
    </row>
    <row r="17" spans="1:4" x14ac:dyDescent="0.2">
      <c r="A17" s="494" t="s">
        <v>332</v>
      </c>
      <c r="B17" s="495">
        <v>3.929147789306215E-3</v>
      </c>
      <c r="C17" s="496">
        <v>0.11815340196028412</v>
      </c>
      <c r="D17" s="497">
        <v>56122.008683773776</v>
      </c>
    </row>
    <row r="18" spans="1:4" x14ac:dyDescent="0.2">
      <c r="A18" s="494" t="s">
        <v>333</v>
      </c>
      <c r="B18" s="495">
        <v>8.1655112348800445E-3</v>
      </c>
      <c r="C18" s="496">
        <v>0.30088410675541688</v>
      </c>
      <c r="D18" s="497">
        <v>116611.08669986475</v>
      </c>
    </row>
    <row r="19" spans="1:4" x14ac:dyDescent="0.2">
      <c r="A19" s="494" t="s">
        <v>334</v>
      </c>
      <c r="B19" s="495">
        <v>2.8707667397024246E-3</v>
      </c>
      <c r="C19" s="496">
        <v>0.11783661763538734</v>
      </c>
      <c r="D19" s="497">
        <v>41043.761308400026</v>
      </c>
    </row>
    <row r="20" spans="1:4" x14ac:dyDescent="0.2">
      <c r="A20" s="498" t="s">
        <v>335</v>
      </c>
      <c r="B20" s="499">
        <v>7.7643713991978683E-3</v>
      </c>
      <c r="C20" s="500">
        <v>0.1743152951777997</v>
      </c>
      <c r="D20" s="501">
        <v>111091.53112792116</v>
      </c>
    </row>
    <row r="21" spans="1:4" x14ac:dyDescent="0.2">
      <c r="A21" s="498" t="s">
        <v>336</v>
      </c>
      <c r="B21" s="499">
        <v>3.7249476461859226E-3</v>
      </c>
      <c r="C21" s="500">
        <v>0.16798469564067733</v>
      </c>
      <c r="D21" s="501">
        <v>53263.850875968012</v>
      </c>
    </row>
    <row r="22" spans="1:4" x14ac:dyDescent="0.2">
      <c r="A22" t="s">
        <v>27</v>
      </c>
      <c r="B22" s="424">
        <v>5.3490731711512522E-4</v>
      </c>
      <c r="C22" s="34">
        <v>2.917602490016637E-2</v>
      </c>
      <c r="D22" s="36">
        <v>7648.9082994961664</v>
      </c>
    </row>
    <row r="23" spans="1:4" x14ac:dyDescent="0.2">
      <c r="A23" s="502" t="s">
        <v>337</v>
      </c>
      <c r="B23" s="503">
        <v>1.2048421725118046E-3</v>
      </c>
      <c r="C23" s="504">
        <v>3.6431644332643967E-2</v>
      </c>
      <c r="D23" s="505">
        <v>17229.028272827149</v>
      </c>
    </row>
    <row r="24" spans="1:4" x14ac:dyDescent="0.2">
      <c r="A24" s="502" t="s">
        <v>85</v>
      </c>
      <c r="B24" s="503">
        <v>3.1296991951344022E-3</v>
      </c>
      <c r="C24" s="504">
        <v>9.8424891671649986E-2</v>
      </c>
      <c r="D24" s="505">
        <v>44753.597494143825</v>
      </c>
    </row>
    <row r="25" spans="1:4" x14ac:dyDescent="0.2">
      <c r="A25" s="502" t="s">
        <v>338</v>
      </c>
      <c r="B25" s="503">
        <v>5.1350055089762175E-4</v>
      </c>
      <c r="C25" s="504">
        <v>2.3979134397632343E-2</v>
      </c>
      <c r="D25" s="505">
        <v>7344.451423176708</v>
      </c>
    </row>
    <row r="26" spans="1:4" x14ac:dyDescent="0.2">
      <c r="A26" s="502" t="s">
        <v>339</v>
      </c>
      <c r="B26" s="503">
        <v>2.8303376370959693E-3</v>
      </c>
      <c r="C26" s="504">
        <v>0.1483253007878243</v>
      </c>
      <c r="D26" s="505">
        <v>40472.115350228589</v>
      </c>
    </row>
    <row r="27" spans="1:4" x14ac:dyDescent="0.2">
      <c r="A27" s="502" t="s">
        <v>88</v>
      </c>
      <c r="B27" s="503">
        <v>1.7281700371295739E-3</v>
      </c>
      <c r="C27" s="504">
        <v>6.3021096327781592E-2</v>
      </c>
      <c r="D27" s="505">
        <v>24760.760293282845</v>
      </c>
    </row>
    <row r="28" spans="1:4" x14ac:dyDescent="0.2">
      <c r="A28" s="502" t="s">
        <v>340</v>
      </c>
      <c r="B28" s="503">
        <v>2.18011124000038E-3</v>
      </c>
      <c r="C28" s="504">
        <v>7.4116640829073641E-2</v>
      </c>
      <c r="D28" s="505">
        <v>31178.844421965983</v>
      </c>
    </row>
    <row r="29" spans="1:4" x14ac:dyDescent="0.2">
      <c r="A29" s="502" t="s">
        <v>341</v>
      </c>
      <c r="B29" s="503">
        <v>6.506558169812768E-3</v>
      </c>
      <c r="C29" s="504">
        <v>0.25977150355356082</v>
      </c>
      <c r="D29" s="505">
        <v>93040.76392473423</v>
      </c>
    </row>
    <row r="30" spans="1:4" x14ac:dyDescent="0.2">
      <c r="A30" s="502" t="s">
        <v>342</v>
      </c>
      <c r="B30" s="503">
        <v>2.3396815092192394E-2</v>
      </c>
      <c r="C30" s="504">
        <v>0.42645961838559882</v>
      </c>
      <c r="D30" s="505">
        <v>335135.89001999173</v>
      </c>
    </row>
    <row r="31" spans="1:4" x14ac:dyDescent="0.2">
      <c r="A31" s="506" t="s">
        <v>343</v>
      </c>
      <c r="B31" s="507">
        <v>1.2431440863460331E-2</v>
      </c>
      <c r="C31" s="508">
        <v>0.49000863822500101</v>
      </c>
      <c r="D31" s="509">
        <v>176478.29451720425</v>
      </c>
    </row>
    <row r="32" spans="1:4" x14ac:dyDescent="0.2">
      <c r="A32" s="506" t="s">
        <v>91</v>
      </c>
      <c r="B32" s="507">
        <v>1.4866644484525353E-3</v>
      </c>
      <c r="C32" s="508">
        <v>4.3327726968751444E-2</v>
      </c>
      <c r="D32" s="509">
        <v>21258.388559582709</v>
      </c>
    </row>
    <row r="33" spans="1:4" x14ac:dyDescent="0.2">
      <c r="A33" s="506" t="s">
        <v>92</v>
      </c>
      <c r="B33" s="507">
        <v>1.5659023602080607E-3</v>
      </c>
      <c r="C33" s="508">
        <v>3.7163603198210569E-2</v>
      </c>
      <c r="D33" s="509">
        <v>22392.899648169885</v>
      </c>
    </row>
    <row r="34" spans="1:4" x14ac:dyDescent="0.2">
      <c r="A34" s="506" t="s">
        <v>344</v>
      </c>
      <c r="B34" s="507">
        <v>4.9987255255082325E-2</v>
      </c>
      <c r="C34" s="508">
        <v>0.91061543485892971</v>
      </c>
      <c r="D34" s="509">
        <v>711556.44016543974</v>
      </c>
    </row>
    <row r="35" spans="1:4" x14ac:dyDescent="0.2">
      <c r="A35" s="506" t="s">
        <v>345</v>
      </c>
      <c r="B35" s="507">
        <v>6.7574700864766968E-2</v>
      </c>
      <c r="C35" s="508">
        <v>1.191999613887551</v>
      </c>
      <c r="D35" s="509">
        <v>960630.92430930666</v>
      </c>
    </row>
    <row r="36" spans="1:4" x14ac:dyDescent="0.2">
      <c r="A36" s="506" t="s">
        <v>346</v>
      </c>
      <c r="B36" s="507">
        <v>4.6331281305916228E-3</v>
      </c>
      <c r="C36" s="508">
        <v>0.16044330987246633</v>
      </c>
      <c r="D36" s="509">
        <v>65837.282786947413</v>
      </c>
    </row>
    <row r="37" spans="1:4" x14ac:dyDescent="0.2">
      <c r="A37" s="506" t="s">
        <v>347</v>
      </c>
      <c r="B37" s="507">
        <v>4.7898562428189779E-3</v>
      </c>
      <c r="C37" s="508">
        <v>0.19349724425382367</v>
      </c>
      <c r="D37" s="509">
        <v>68208.974105634814</v>
      </c>
    </row>
    <row r="38" spans="1:4" x14ac:dyDescent="0.2">
      <c r="A38" s="506" t="s">
        <v>348</v>
      </c>
      <c r="B38" s="507">
        <v>1.5599973106462319E-3</v>
      </c>
      <c r="C38" s="508">
        <v>9.3571681994441963E-3</v>
      </c>
      <c r="D38" s="509">
        <v>21962.256187091782</v>
      </c>
    </row>
    <row r="39" spans="1:4" x14ac:dyDescent="0.2">
      <c r="A39" s="506" t="s">
        <v>349</v>
      </c>
      <c r="B39" s="507">
        <v>2.6445295383089413E-3</v>
      </c>
      <c r="C39" s="508">
        <v>0.15135043306872226</v>
      </c>
      <c r="D39" s="509">
        <v>37809.821101517715</v>
      </c>
    </row>
    <row r="40" spans="1:4" x14ac:dyDescent="0.2">
      <c r="A40" s="506" t="s">
        <v>93</v>
      </c>
      <c r="B40" s="507">
        <v>1.7568890735695439E-2</v>
      </c>
      <c r="C40" s="508">
        <v>0.63578823951096242</v>
      </c>
      <c r="D40" s="509">
        <v>251239.32029451182</v>
      </c>
    </row>
    <row r="41" spans="1:4" x14ac:dyDescent="0.2">
      <c r="A41" s="510" t="s">
        <v>350</v>
      </c>
      <c r="B41" s="511">
        <v>1.6506942244316728E-3</v>
      </c>
      <c r="C41" s="512">
        <v>5.5219368746052801E-2</v>
      </c>
      <c r="D41" s="513">
        <v>23417.89740546537</v>
      </c>
    </row>
    <row r="42" spans="1:4" x14ac:dyDescent="0.2">
      <c r="A42" s="510" t="s">
        <v>351</v>
      </c>
      <c r="B42" s="511">
        <v>7.6719284273585244E-4</v>
      </c>
      <c r="C42" s="512">
        <v>5.6778672210896414E-2</v>
      </c>
      <c r="D42" s="513">
        <v>10968.764263972451</v>
      </c>
    </row>
    <row r="43" spans="1:4" x14ac:dyDescent="0.2">
      <c r="A43" s="510" t="s">
        <v>96</v>
      </c>
      <c r="B43" s="511">
        <v>7.3864699870805723E-3</v>
      </c>
      <c r="C43" s="512">
        <v>0.19258570174363809</v>
      </c>
      <c r="D43" s="513">
        <v>105403.10610191521</v>
      </c>
    </row>
    <row r="44" spans="1:4" x14ac:dyDescent="0.2">
      <c r="A44" s="514" t="s">
        <v>352</v>
      </c>
      <c r="B44" s="515">
        <v>1.0225622752273412E-3</v>
      </c>
      <c r="C44" s="516">
        <v>4.7207658523851621E-2</v>
      </c>
      <c r="D44" s="517">
        <v>14647.249859223195</v>
      </c>
    </row>
    <row r="45" spans="1:4" x14ac:dyDescent="0.2">
      <c r="A45" s="514" t="s">
        <v>353</v>
      </c>
      <c r="B45" s="515">
        <v>6.0379761442855987E-3</v>
      </c>
      <c r="C45" s="516">
        <v>0.19407275107273719</v>
      </c>
      <c r="D45" s="517">
        <v>86416.167818638802</v>
      </c>
    </row>
    <row r="46" spans="1:4" x14ac:dyDescent="0.2">
      <c r="A46" s="514" t="s">
        <v>354</v>
      </c>
      <c r="B46" s="515">
        <v>3.0792061959845664E-2</v>
      </c>
      <c r="C46" s="516">
        <v>0.31807370151618181</v>
      </c>
      <c r="D46" s="517">
        <v>441472.92651571572</v>
      </c>
    </row>
    <row r="47" spans="1:4" x14ac:dyDescent="0.2">
      <c r="A47" s="514" t="s">
        <v>355</v>
      </c>
      <c r="B47" s="515">
        <v>2.4119920524368487E-3</v>
      </c>
      <c r="C47" s="516">
        <v>8.2719393837708766E-2</v>
      </c>
      <c r="D47" s="517">
        <v>34568.51856637156</v>
      </c>
    </row>
    <row r="48" spans="1:4" x14ac:dyDescent="0.2">
      <c r="A48" s="518" t="s">
        <v>101</v>
      </c>
      <c r="B48" s="519">
        <v>1.0662199061093269E-4</v>
      </c>
      <c r="C48" s="520">
        <v>1.0448955079871401E-2</v>
      </c>
      <c r="D48" s="521">
        <v>1524.6477775888377</v>
      </c>
    </row>
    <row r="49" spans="1:4" x14ac:dyDescent="0.2">
      <c r="A49" s="518" t="s">
        <v>356</v>
      </c>
      <c r="B49" s="519">
        <v>8.9039308432921575E-3</v>
      </c>
      <c r="C49" s="520">
        <v>0.39843152014635552</v>
      </c>
      <c r="D49" s="521">
        <v>127321.59457975335</v>
      </c>
    </row>
    <row r="50" spans="1:4" x14ac:dyDescent="0.2">
      <c r="A50" s="518" t="s">
        <v>357</v>
      </c>
      <c r="B50" s="519">
        <v>2.9201741518328134E-2</v>
      </c>
      <c r="C50" s="520">
        <v>0.67338708446968965</v>
      </c>
      <c r="D50" s="521">
        <v>416288.62737469591</v>
      </c>
    </row>
    <row r="51" spans="1:4" x14ac:dyDescent="0.2">
      <c r="A51" s="518" t="s">
        <v>358</v>
      </c>
      <c r="B51" s="519">
        <v>0.26410104736843504</v>
      </c>
      <c r="C51" s="520">
        <v>0.57934811830266364</v>
      </c>
      <c r="D51" s="521">
        <v>3771526.6708217598</v>
      </c>
    </row>
    <row r="52" spans="1:4" x14ac:dyDescent="0.2">
      <c r="A52" s="518" t="s">
        <v>359</v>
      </c>
      <c r="B52" s="519">
        <v>2.970814368231291E-3</v>
      </c>
      <c r="C52" s="520">
        <v>0.12107189446879753</v>
      </c>
      <c r="D52" s="521">
        <v>42482.469263534098</v>
      </c>
    </row>
    <row r="53" spans="1:4" x14ac:dyDescent="0.2">
      <c r="A53" s="518" t="s">
        <v>360</v>
      </c>
      <c r="B53" s="519">
        <v>7.284806845341731E-5</v>
      </c>
      <c r="C53" s="520">
        <v>7.1391107084348947E-3</v>
      </c>
      <c r="D53" s="521">
        <v>1039.3611449585926</v>
      </c>
    </row>
    <row r="54" spans="1:4" x14ac:dyDescent="0.2">
      <c r="A54" s="518" t="s">
        <v>102</v>
      </c>
      <c r="B54" s="519">
        <v>7.4265696793940116E-3</v>
      </c>
      <c r="C54" s="520">
        <v>0.30995816895743616</v>
      </c>
      <c r="D54" s="521">
        <v>106248.29256999037</v>
      </c>
    </row>
    <row r="55" spans="1:4" x14ac:dyDescent="0.2">
      <c r="A55" s="522" t="s">
        <v>103</v>
      </c>
      <c r="B55" s="523">
        <v>4.1259374130832218E-3</v>
      </c>
      <c r="C55" s="524">
        <v>7.8152309969685752E-2</v>
      </c>
      <c r="D55" s="525">
        <v>58940.739060196262</v>
      </c>
    </row>
    <row r="56" spans="1:4" x14ac:dyDescent="0.2">
      <c r="A56" s="522" t="s">
        <v>104</v>
      </c>
      <c r="B56" s="523">
        <v>1.9286286599382347E-4</v>
      </c>
      <c r="C56" s="524">
        <v>1.1516825184281114E-3</v>
      </c>
      <c r="D56" s="525">
        <v>2651.6598423460991</v>
      </c>
    </row>
    <row r="57" spans="1:4" x14ac:dyDescent="0.2">
      <c r="A57" s="522" t="s">
        <v>105</v>
      </c>
      <c r="B57" s="523">
        <v>1.0969132742485582E-3</v>
      </c>
      <c r="C57" s="524">
        <v>5.7791851601486938E-3</v>
      </c>
      <c r="D57" s="525">
        <v>15160.091963899895</v>
      </c>
    </row>
    <row r="58" spans="1:4" x14ac:dyDescent="0.2">
      <c r="A58" s="522" t="s">
        <v>106</v>
      </c>
      <c r="B58" s="523">
        <v>1.648960282675955E-4</v>
      </c>
      <c r="C58" s="524">
        <v>1.346673737033979E-2</v>
      </c>
      <c r="D58" s="525">
        <v>2525.5530319425238</v>
      </c>
    </row>
    <row r="59" spans="1:4" x14ac:dyDescent="0.2">
      <c r="A59" s="522" t="s">
        <v>361</v>
      </c>
      <c r="B59" s="523">
        <v>9.3786360489209148E-5</v>
      </c>
      <c r="C59" s="524">
        <v>3.7170686721638719E-3</v>
      </c>
      <c r="D59" s="525">
        <v>1307.2960966273781</v>
      </c>
    </row>
    <row r="60" spans="1:4" x14ac:dyDescent="0.2">
      <c r="A60" s="522" t="s">
        <v>362</v>
      </c>
      <c r="B60" s="523">
        <v>4.7396896716792188E-5</v>
      </c>
      <c r="C60" s="524">
        <v>1.5532697280192824E-3</v>
      </c>
      <c r="D60" s="525">
        <v>718.53405210478707</v>
      </c>
    </row>
    <row r="61" spans="1:4" x14ac:dyDescent="0.2">
      <c r="A61" s="522" t="s">
        <v>363</v>
      </c>
      <c r="B61" s="523">
        <v>1.1220445923784898E-3</v>
      </c>
      <c r="C61" s="524">
        <v>1.73072097681654E-3</v>
      </c>
      <c r="D61" s="525">
        <v>15528.642016458805</v>
      </c>
    </row>
    <row r="62" spans="1:4" x14ac:dyDescent="0.2">
      <c r="A62" s="522" t="s">
        <v>107</v>
      </c>
      <c r="B62" s="523">
        <v>4.6562637408021461E-3</v>
      </c>
      <c r="C62" s="524">
        <v>5.3764063984839697E-2</v>
      </c>
      <c r="D62" s="525">
        <v>65841.251782734398</v>
      </c>
    </row>
    <row r="63" spans="1:4" x14ac:dyDescent="0.2">
      <c r="A63" s="522" t="s">
        <v>364</v>
      </c>
      <c r="B63" s="523">
        <v>1.7854965600816897E-2</v>
      </c>
      <c r="C63" s="524">
        <v>0.54006994054752222</v>
      </c>
      <c r="D63" s="525">
        <v>255221.97489403622</v>
      </c>
    </row>
    <row r="64" spans="1:4" x14ac:dyDescent="0.2">
      <c r="A64" s="522" t="s">
        <v>365</v>
      </c>
      <c r="B64" s="523">
        <v>5.201473539886944E-3</v>
      </c>
      <c r="C64" s="524">
        <v>0</v>
      </c>
      <c r="D64" s="525">
        <v>71260.485999999975</v>
      </c>
    </row>
    <row r="65" spans="2:4" x14ac:dyDescent="0.2">
      <c r="B65" s="424">
        <f>SUBTOTAL(109,Tableau94[Composition en %])</f>
        <v>0.99999999999997768</v>
      </c>
      <c r="D65" s="36">
        <f>SUBTOTAL(109,Tableau94[Gisement correspondant (en tonnes)])</f>
        <v>14273362.838999666</v>
      </c>
    </row>
  </sheetData>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workbookViewId="0">
      <selection activeCell="C38" sqref="C38:C44"/>
    </sheetView>
  </sheetViews>
  <sheetFormatPr baseColWidth="10" defaultRowHeight="12.75" x14ac:dyDescent="0.2"/>
  <cols>
    <col min="1" max="2" width="44.140625" bestFit="1" customWidth="1"/>
    <col min="3" max="3" width="19.140625" customWidth="1"/>
    <col min="4" max="4" width="11" customWidth="1"/>
  </cols>
  <sheetData>
    <row r="1" spans="1:3" x14ac:dyDescent="0.2">
      <c r="A1" t="s">
        <v>370</v>
      </c>
    </row>
    <row r="3" spans="1:3" x14ac:dyDescent="0.2">
      <c r="A3" t="s">
        <v>63</v>
      </c>
      <c r="B3" t="s">
        <v>322</v>
      </c>
      <c r="C3" t="s">
        <v>405</v>
      </c>
    </row>
    <row r="4" spans="1:3" x14ac:dyDescent="0.2">
      <c r="A4" t="s">
        <v>343</v>
      </c>
      <c r="B4" s="34">
        <v>12.361546483192923</v>
      </c>
      <c r="C4" s="34">
        <v>5.2211106083273293</v>
      </c>
    </row>
    <row r="5" spans="1:3" x14ac:dyDescent="0.2">
      <c r="A5" t="s">
        <v>344</v>
      </c>
      <c r="B5" s="34">
        <v>23.878086201735979</v>
      </c>
      <c r="C5" s="34">
        <v>7.8948407354884802</v>
      </c>
    </row>
    <row r="6" spans="1:3" x14ac:dyDescent="0.2">
      <c r="A6" t="s">
        <v>345</v>
      </c>
      <c r="B6" s="34">
        <v>54.195973097092427</v>
      </c>
      <c r="C6" s="34">
        <v>8.7707299634846425</v>
      </c>
    </row>
    <row r="7" spans="1:3" x14ac:dyDescent="0.2">
      <c r="A7" t="s">
        <v>346</v>
      </c>
      <c r="B7" s="34">
        <v>3.9857068365201656</v>
      </c>
      <c r="C7" s="34">
        <v>2.3673646777523318</v>
      </c>
    </row>
    <row r="8" spans="1:3" x14ac:dyDescent="0.2">
      <c r="A8" t="s">
        <v>347</v>
      </c>
      <c r="B8" s="34">
        <v>2.7224206888442875</v>
      </c>
      <c r="C8" s="34">
        <v>1.2630510872653062</v>
      </c>
    </row>
    <row r="9" spans="1:3" x14ac:dyDescent="0.2">
      <c r="A9" t="s">
        <v>369</v>
      </c>
      <c r="B9" s="34">
        <v>2.8562666926142271</v>
      </c>
      <c r="C9" s="34">
        <v>2.0895892509889848</v>
      </c>
    </row>
    <row r="10" spans="1:3" x14ac:dyDescent="0.2">
      <c r="B10" s="34">
        <f>SUBTOTAL(109,Tableau11[%])</f>
        <v>100</v>
      </c>
    </row>
    <row r="13" spans="1:3" x14ac:dyDescent="0.2">
      <c r="A13" t="s">
        <v>373</v>
      </c>
    </row>
    <row r="15" spans="1:3" x14ac:dyDescent="0.2">
      <c r="A15" t="s">
        <v>63</v>
      </c>
      <c r="B15" t="s">
        <v>322</v>
      </c>
      <c r="C15" t="s">
        <v>398</v>
      </c>
    </row>
    <row r="16" spans="1:3" x14ac:dyDescent="0.2">
      <c r="A16" t="s">
        <v>352</v>
      </c>
      <c r="B16" s="34">
        <v>1.5510838710491623</v>
      </c>
      <c r="C16" s="34">
        <v>0.67292134778435331</v>
      </c>
    </row>
    <row r="17" spans="1:3" x14ac:dyDescent="0.2">
      <c r="A17" t="s">
        <v>371</v>
      </c>
      <c r="B17" s="34">
        <v>9.1244132005210048</v>
      </c>
      <c r="C17" s="34">
        <v>2.1142338742853859</v>
      </c>
    </row>
    <row r="18" spans="1:3" x14ac:dyDescent="0.2">
      <c r="A18" t="s">
        <v>354</v>
      </c>
      <c r="B18" s="34">
        <v>72.819049867810719</v>
      </c>
      <c r="C18" s="34">
        <v>6.3888343472231597</v>
      </c>
    </row>
    <row r="19" spans="1:3" x14ac:dyDescent="0.2">
      <c r="A19" t="s">
        <v>355</v>
      </c>
      <c r="B19" s="34">
        <v>4.7661569702300275</v>
      </c>
      <c r="C19" s="34">
        <v>1.7010308328552388</v>
      </c>
    </row>
    <row r="20" spans="1:3" x14ac:dyDescent="0.2">
      <c r="A20" t="s">
        <v>372</v>
      </c>
      <c r="B20" s="34">
        <v>11.739296090389089</v>
      </c>
      <c r="C20" s="34">
        <v>8.3232242594108179</v>
      </c>
    </row>
    <row r="21" spans="1:3" x14ac:dyDescent="0.2">
      <c r="B21" s="34">
        <f>SUBTOTAL(109,Tableau12[%])</f>
        <v>100</v>
      </c>
    </row>
    <row r="24" spans="1:3" x14ac:dyDescent="0.2">
      <c r="A24" t="s">
        <v>374</v>
      </c>
    </row>
    <row r="26" spans="1:3" x14ac:dyDescent="0.2">
      <c r="A26" t="s">
        <v>63</v>
      </c>
      <c r="B26" t="s">
        <v>322</v>
      </c>
      <c r="C26" t="s">
        <v>398</v>
      </c>
    </row>
    <row r="27" spans="1:3" x14ac:dyDescent="0.2">
      <c r="A27" t="s">
        <v>342</v>
      </c>
      <c r="B27" s="34">
        <v>77.070989375783228</v>
      </c>
      <c r="C27" s="34">
        <v>4.0074768120453692</v>
      </c>
    </row>
    <row r="28" spans="1:3" x14ac:dyDescent="0.2">
      <c r="A28" t="s">
        <v>88</v>
      </c>
      <c r="B28" s="34">
        <v>6.5485584812425639</v>
      </c>
      <c r="C28" s="34">
        <v>1.091883332017944</v>
      </c>
    </row>
    <row r="29" spans="1:3" x14ac:dyDescent="0.2">
      <c r="A29" t="s">
        <v>340</v>
      </c>
      <c r="B29" s="34">
        <v>2.3893081508894189</v>
      </c>
      <c r="C29" s="34">
        <v>0.72185035154552091</v>
      </c>
    </row>
    <row r="30" spans="1:3" x14ac:dyDescent="0.2">
      <c r="A30" t="s">
        <v>375</v>
      </c>
      <c r="B30" s="34">
        <v>0.81234076116570231</v>
      </c>
      <c r="C30" s="34">
        <v>0.40318140029832733</v>
      </c>
    </row>
    <row r="31" spans="1:3" x14ac:dyDescent="0.2">
      <c r="A31" t="s">
        <v>376</v>
      </c>
      <c r="B31" s="34">
        <v>13.178803230919087</v>
      </c>
      <c r="C31" s="34">
        <v>8.6771817418584547</v>
      </c>
    </row>
    <row r="32" spans="1:3" x14ac:dyDescent="0.2">
      <c r="B32" s="34">
        <f>SUBTOTAL(109,Tableau14[%])</f>
        <v>100</v>
      </c>
    </row>
    <row r="35" spans="1:3" x14ac:dyDescent="0.2">
      <c r="A35" t="s">
        <v>377</v>
      </c>
    </row>
    <row r="37" spans="1:3" x14ac:dyDescent="0.2">
      <c r="A37" t="s">
        <v>63</v>
      </c>
      <c r="B37" t="s">
        <v>322</v>
      </c>
      <c r="C37" t="s">
        <v>398</v>
      </c>
    </row>
    <row r="38" spans="1:3" x14ac:dyDescent="0.2">
      <c r="A38" t="s">
        <v>332</v>
      </c>
      <c r="B38" s="34">
        <v>5.7150257590169948</v>
      </c>
      <c r="C38" s="34">
        <v>1.8255212683438971</v>
      </c>
    </row>
    <row r="39" spans="1:3" x14ac:dyDescent="0.2">
      <c r="A39" t="s">
        <v>333</v>
      </c>
      <c r="B39" s="34">
        <v>13.191234692954319</v>
      </c>
      <c r="C39" s="34">
        <v>5.6031283025614194</v>
      </c>
    </row>
    <row r="40" spans="1:3" x14ac:dyDescent="0.2">
      <c r="A40" t="s">
        <v>344</v>
      </c>
      <c r="B40" s="34">
        <v>68.767098885408146</v>
      </c>
      <c r="C40" s="34">
        <v>8.3772320478574116</v>
      </c>
    </row>
    <row r="41" spans="1:3" x14ac:dyDescent="0.2">
      <c r="A41" t="s">
        <v>371</v>
      </c>
      <c r="B41" s="34">
        <v>6.2206813104566363</v>
      </c>
      <c r="C41" s="34">
        <v>2.3701266439277391</v>
      </c>
    </row>
    <row r="42" spans="1:3" x14ac:dyDescent="0.2">
      <c r="A42" t="s">
        <v>345</v>
      </c>
      <c r="B42" s="34">
        <v>2.2619019515718386</v>
      </c>
      <c r="C42" s="34">
        <v>1.3818588676725128</v>
      </c>
    </row>
    <row r="43" spans="1:3" x14ac:dyDescent="0.2">
      <c r="A43" t="s">
        <v>340</v>
      </c>
      <c r="B43" s="34">
        <v>1.2795897352470165</v>
      </c>
      <c r="C43" s="34">
        <v>0.49128430843968596</v>
      </c>
    </row>
    <row r="44" spans="1:3" x14ac:dyDescent="0.2">
      <c r="A44" t="s">
        <v>378</v>
      </c>
      <c r="B44" s="34">
        <v>2.5644676653450489</v>
      </c>
      <c r="C44" s="34">
        <v>2.0920705913276674</v>
      </c>
    </row>
    <row r="45" spans="1:3" x14ac:dyDescent="0.2">
      <c r="B45" s="34">
        <f>SUBTOTAL(109,Tableau15[%])</f>
        <v>100</v>
      </c>
    </row>
    <row r="48" spans="1:3" x14ac:dyDescent="0.2">
      <c r="A48" t="s">
        <v>386</v>
      </c>
    </row>
    <row r="50" spans="1:4" x14ac:dyDescent="0.2">
      <c r="A50" t="s">
        <v>0</v>
      </c>
      <c r="B50" t="s">
        <v>322</v>
      </c>
      <c r="C50" t="s">
        <v>379</v>
      </c>
      <c r="D50" t="s">
        <v>388</v>
      </c>
    </row>
    <row r="51" spans="1:4" x14ac:dyDescent="0.2">
      <c r="A51" t="s">
        <v>380</v>
      </c>
      <c r="B51" s="34">
        <v>1.4248987886590669</v>
      </c>
      <c r="C51" s="34">
        <v>0.77323551835846505</v>
      </c>
      <c r="D51" s="36">
        <v>46736.015851961231</v>
      </c>
    </row>
    <row r="52" spans="1:4" x14ac:dyDescent="0.2">
      <c r="A52" t="s">
        <v>12</v>
      </c>
      <c r="B52" s="34">
        <v>4.3703887060910258</v>
      </c>
      <c r="C52" s="34">
        <v>1.3262704648215156</v>
      </c>
      <c r="D52" s="36">
        <v>143346.71169123586</v>
      </c>
    </row>
    <row r="53" spans="1:4" x14ac:dyDescent="0.2">
      <c r="A53" t="s">
        <v>18</v>
      </c>
      <c r="B53" s="34">
        <v>2.3190603055288621</v>
      </c>
      <c r="C53" s="34">
        <v>0.64578019780313844</v>
      </c>
      <c r="D53" s="36">
        <v>76064.096666716796</v>
      </c>
    </row>
    <row r="54" spans="1:4" x14ac:dyDescent="0.2">
      <c r="A54" t="s">
        <v>22</v>
      </c>
      <c r="B54" s="34">
        <v>4.8430118247207652</v>
      </c>
      <c r="C54" s="34">
        <v>1.4888850196270256</v>
      </c>
      <c r="D54" s="36">
        <v>158848.52960285736</v>
      </c>
    </row>
    <row r="55" spans="1:4" x14ac:dyDescent="0.2">
      <c r="A55" t="s">
        <v>26</v>
      </c>
      <c r="B55" s="34">
        <v>4.4618172230208719</v>
      </c>
      <c r="C55" s="34">
        <v>1.4751445521879494</v>
      </c>
      <c r="D55" s="36">
        <v>146345.52441433168</v>
      </c>
    </row>
    <row r="56" spans="1:4" x14ac:dyDescent="0.2">
      <c r="A56" t="s">
        <v>27</v>
      </c>
      <c r="B56" s="34">
        <v>0.23271011525123025</v>
      </c>
      <c r="C56" s="34">
        <v>0.1270008488497282</v>
      </c>
      <c r="D56" s="36">
        <v>7632.783269840711</v>
      </c>
    </row>
    <row r="57" spans="1:4" x14ac:dyDescent="0.2">
      <c r="A57" t="s">
        <v>31</v>
      </c>
      <c r="B57" s="34">
        <v>17.453157337431463</v>
      </c>
      <c r="C57" s="34">
        <v>4.7881498483401792</v>
      </c>
      <c r="D57" s="36">
        <v>572455.42243501707</v>
      </c>
    </row>
    <row r="58" spans="1:4" x14ac:dyDescent="0.2">
      <c r="A58" t="s">
        <v>321</v>
      </c>
      <c r="B58" s="34">
        <v>25.685202652238385</v>
      </c>
      <c r="C58" s="34">
        <v>8.8481120126531216</v>
      </c>
      <c r="D58" s="36">
        <v>842462.67024027416</v>
      </c>
    </row>
    <row r="59" spans="1:4" x14ac:dyDescent="0.2">
      <c r="A59" t="s">
        <v>44</v>
      </c>
      <c r="B59" s="34">
        <v>3.787649892780026</v>
      </c>
      <c r="C59" s="34">
        <v>1.261105709304716</v>
      </c>
      <c r="D59" s="36">
        <v>124233.15033991635</v>
      </c>
    </row>
    <row r="60" spans="1:4" x14ac:dyDescent="0.2">
      <c r="A60" t="s">
        <v>48</v>
      </c>
      <c r="B60" s="34">
        <v>2.1671941141841589</v>
      </c>
      <c r="C60" s="34">
        <v>0.67052805144100247</v>
      </c>
      <c r="D60" s="36">
        <v>71082.9564042969</v>
      </c>
    </row>
    <row r="61" spans="1:4" x14ac:dyDescent="0.2">
      <c r="A61" t="s">
        <v>381</v>
      </c>
      <c r="B61" s="34">
        <v>24.737638709765747</v>
      </c>
      <c r="C61" s="34">
        <v>8.5021292008036422</v>
      </c>
      <c r="D61" s="36">
        <v>811383.01476676238</v>
      </c>
    </row>
    <row r="62" spans="1:4" x14ac:dyDescent="0.2">
      <c r="A62" t="s">
        <v>56</v>
      </c>
      <c r="B62" s="34">
        <v>1.1848966107924879</v>
      </c>
      <c r="C62" s="34">
        <v>0.6118496586377109</v>
      </c>
      <c r="D62" s="36">
        <v>38864.056328552957</v>
      </c>
    </row>
    <row r="63" spans="1:4" x14ac:dyDescent="0.2">
      <c r="A63" t="s">
        <v>382</v>
      </c>
      <c r="B63" s="34">
        <v>7.3323737195359016</v>
      </c>
      <c r="C63" s="34">
        <v>2.1212915986369314</v>
      </c>
      <c r="D63" s="36">
        <v>240498.4389882359</v>
      </c>
    </row>
    <row r="64" spans="1:4" x14ac:dyDescent="0.2">
      <c r="B64" s="34">
        <f>SUBTOTAL(109,Tableau18[%])</f>
        <v>100</v>
      </c>
      <c r="D64" s="36">
        <f>SUBTOTAL(109,Tableau18[Gisements (en tonnes)])</f>
        <v>3279953.3709999989</v>
      </c>
    </row>
    <row r="67" spans="1:5" x14ac:dyDescent="0.2">
      <c r="A67" t="s">
        <v>385</v>
      </c>
    </row>
    <row r="69" spans="1:5" x14ac:dyDescent="0.2">
      <c r="A69" t="s">
        <v>115</v>
      </c>
      <c r="B69" t="s">
        <v>63</v>
      </c>
      <c r="C69" t="s">
        <v>383</v>
      </c>
      <c r="D69" t="s">
        <v>384</v>
      </c>
      <c r="E69" t="s">
        <v>387</v>
      </c>
    </row>
    <row r="70" spans="1:5" x14ac:dyDescent="0.2">
      <c r="A70" t="s">
        <v>380</v>
      </c>
      <c r="B70" t="s">
        <v>64</v>
      </c>
      <c r="C70" s="34">
        <v>0.74037615206047314</v>
      </c>
      <c r="D70" s="34">
        <v>0.4096723947576944</v>
      </c>
      <c r="E70" s="36">
        <v>24283.992557587571</v>
      </c>
    </row>
    <row r="71" spans="1:5" x14ac:dyDescent="0.2">
      <c r="A71" t="s">
        <v>380</v>
      </c>
      <c r="B71" t="s">
        <v>67</v>
      </c>
      <c r="C71" s="34">
        <v>5.4319656141209954E-2</v>
      </c>
      <c r="D71" s="34">
        <v>3.0232084108128575E-2</v>
      </c>
      <c r="E71" s="36">
        <v>1781.6593927192243</v>
      </c>
    </row>
    <row r="72" spans="1:5" x14ac:dyDescent="0.2">
      <c r="A72" t="s">
        <v>380</v>
      </c>
      <c r="B72" t="s">
        <v>68</v>
      </c>
      <c r="C72" s="34">
        <v>0.63020298045738388</v>
      </c>
      <c r="D72" s="34">
        <v>0.33333103949264209</v>
      </c>
      <c r="E72" s="36">
        <v>20670.363901654433</v>
      </c>
    </row>
    <row r="73" spans="1:5" x14ac:dyDescent="0.2">
      <c r="A73" t="s">
        <v>12</v>
      </c>
      <c r="B73" t="s">
        <v>12</v>
      </c>
      <c r="C73" s="34">
        <v>3.7463503629028354</v>
      </c>
      <c r="D73" s="34">
        <v>0.91643775498242785</v>
      </c>
      <c r="E73" s="36">
        <v>122878.54501750227</v>
      </c>
    </row>
    <row r="74" spans="1:5" x14ac:dyDescent="0.2">
      <c r="A74" t="s">
        <v>12</v>
      </c>
      <c r="B74" t="s">
        <v>329</v>
      </c>
      <c r="C74" s="34">
        <v>0.62403834318819007</v>
      </c>
      <c r="D74" s="34">
        <v>0.40983270983908765</v>
      </c>
      <c r="E74" s="36">
        <v>20468.166673733587</v>
      </c>
    </row>
    <row r="75" spans="1:5" x14ac:dyDescent="0.2">
      <c r="A75" t="s">
        <v>18</v>
      </c>
      <c r="B75" t="s">
        <v>74</v>
      </c>
      <c r="C75" s="34">
        <v>0.42893076942279129</v>
      </c>
      <c r="D75" s="34">
        <v>0.11933816942083481</v>
      </c>
      <c r="E75" s="36">
        <v>14068.72923093908</v>
      </c>
    </row>
    <row r="76" spans="1:5" x14ac:dyDescent="0.2">
      <c r="A76" t="s">
        <v>18</v>
      </c>
      <c r="B76" t="s">
        <v>75</v>
      </c>
      <c r="C76" s="34">
        <v>1.6757341719683596</v>
      </c>
      <c r="D76" s="34">
        <v>0.44823442795592561</v>
      </c>
      <c r="E76" s="36">
        <v>54963.299462475145</v>
      </c>
    </row>
    <row r="77" spans="1:5" x14ac:dyDescent="0.2">
      <c r="A77" t="s">
        <v>18</v>
      </c>
      <c r="B77" t="s">
        <v>76</v>
      </c>
      <c r="C77" s="34">
        <v>0.21439536413771107</v>
      </c>
      <c r="D77" s="34">
        <v>7.8207600426378004E-2</v>
      </c>
      <c r="E77" s="36">
        <v>7032.067973302579</v>
      </c>
    </row>
    <row r="78" spans="1:5" x14ac:dyDescent="0.2">
      <c r="A78" t="s">
        <v>22</v>
      </c>
      <c r="B78" t="s">
        <v>77</v>
      </c>
      <c r="C78" s="34">
        <v>1.9861435524927803E-2</v>
      </c>
      <c r="D78" s="34">
        <v>1.63939189447945E-2</v>
      </c>
      <c r="E78" s="36">
        <v>651.44582402886101</v>
      </c>
    </row>
    <row r="79" spans="1:5" x14ac:dyDescent="0.2">
      <c r="A79" t="s">
        <v>22</v>
      </c>
      <c r="B79" t="s">
        <v>78</v>
      </c>
      <c r="C79" s="34">
        <v>0.11384288158978058</v>
      </c>
      <c r="D79" s="34">
        <v>6.2381847605443928E-2</v>
      </c>
      <c r="E79" s="36">
        <v>3733.9934323475463</v>
      </c>
    </row>
    <row r="80" spans="1:5" x14ac:dyDescent="0.2">
      <c r="A80" t="s">
        <v>22</v>
      </c>
      <c r="B80" t="s">
        <v>330</v>
      </c>
      <c r="C80" s="34">
        <v>0.7930961246356838</v>
      </c>
      <c r="D80" s="34">
        <v>0.19350554049955915</v>
      </c>
      <c r="E80" s="36">
        <v>26013.183075258472</v>
      </c>
    </row>
    <row r="81" spans="1:5" x14ac:dyDescent="0.2">
      <c r="A81" t="s">
        <v>22</v>
      </c>
      <c r="B81" t="s">
        <v>331</v>
      </c>
      <c r="C81" s="34">
        <v>0.21966194662989083</v>
      </c>
      <c r="D81" s="34">
        <v>7.6732505985063745E-2</v>
      </c>
      <c r="E81" s="36">
        <v>7204.8094232913245</v>
      </c>
    </row>
    <row r="82" spans="1:5" x14ac:dyDescent="0.2">
      <c r="A82" t="s">
        <v>22</v>
      </c>
      <c r="B82" t="s">
        <v>332</v>
      </c>
      <c r="C82" s="34">
        <v>0.95943936657051343</v>
      </c>
      <c r="D82" s="34">
        <v>0.27441051951578965</v>
      </c>
      <c r="E82" s="36">
        <v>31469.163846530602</v>
      </c>
    </row>
    <row r="83" spans="1:5" x14ac:dyDescent="0.2">
      <c r="A83" t="s">
        <v>22</v>
      </c>
      <c r="B83" t="s">
        <v>333</v>
      </c>
      <c r="C83" s="34">
        <v>1.781281575881996</v>
      </c>
      <c r="D83" s="34">
        <v>0.56503083690691569</v>
      </c>
      <c r="E83" s="36">
        <v>58425.20509514345</v>
      </c>
    </row>
    <row r="84" spans="1:5" x14ac:dyDescent="0.2">
      <c r="A84" t="s">
        <v>22</v>
      </c>
      <c r="B84" t="s">
        <v>334</v>
      </c>
      <c r="C84" s="34">
        <v>0.95582849388797309</v>
      </c>
      <c r="D84" s="34">
        <v>0.30042985016945895</v>
      </c>
      <c r="E84" s="36">
        <v>31350.7289062571</v>
      </c>
    </row>
    <row r="85" spans="1:5" x14ac:dyDescent="0.2">
      <c r="A85" t="s">
        <v>26</v>
      </c>
      <c r="B85" t="s">
        <v>335</v>
      </c>
      <c r="C85" s="34">
        <v>2.8537093778773874</v>
      </c>
      <c r="D85" s="34">
        <v>0.75791252982954904</v>
      </c>
      <c r="E85" s="36">
        <v>93600.336938232489</v>
      </c>
    </row>
    <row r="86" spans="1:5" x14ac:dyDescent="0.2">
      <c r="A86" t="s">
        <v>26</v>
      </c>
      <c r="B86" t="s">
        <v>336</v>
      </c>
      <c r="C86" s="34">
        <v>1.6081078451434845</v>
      </c>
      <c r="D86" s="34">
        <v>0.71723202235840033</v>
      </c>
      <c r="E86" s="36">
        <v>52745.187476099185</v>
      </c>
    </row>
    <row r="87" spans="1:5" x14ac:dyDescent="0.2">
      <c r="A87" t="s">
        <v>27</v>
      </c>
      <c r="B87" t="s">
        <v>27</v>
      </c>
      <c r="C87" s="34">
        <v>0.23271011525123025</v>
      </c>
      <c r="D87" s="34">
        <v>0.1270008488497282</v>
      </c>
      <c r="E87" s="36">
        <v>7632.783269840711</v>
      </c>
    </row>
    <row r="88" spans="1:5" x14ac:dyDescent="0.2">
      <c r="A88" t="s">
        <v>31</v>
      </c>
      <c r="B88" t="s">
        <v>337</v>
      </c>
      <c r="C88" s="34">
        <v>0.52368331040948513</v>
      </c>
      <c r="D88" s="34">
        <v>0.15790842416716011</v>
      </c>
      <c r="E88" s="36">
        <v>17176.5683931403</v>
      </c>
    </row>
    <row r="89" spans="1:5" x14ac:dyDescent="0.2">
      <c r="A89" t="s">
        <v>31</v>
      </c>
      <c r="B89" t="s">
        <v>85</v>
      </c>
      <c r="C89" s="34">
        <v>1.3605010733845604</v>
      </c>
      <c r="D89" s="34">
        <v>0.42701544996324264</v>
      </c>
      <c r="E89" s="36">
        <v>44623.80081896807</v>
      </c>
    </row>
    <row r="90" spans="1:5" x14ac:dyDescent="0.2">
      <c r="A90" t="s">
        <v>31</v>
      </c>
      <c r="B90" t="s">
        <v>338</v>
      </c>
      <c r="C90" s="34">
        <v>0.22266804827545308</v>
      </c>
      <c r="D90" s="34">
        <v>0.10421310410321956</v>
      </c>
      <c r="E90" s="36">
        <v>7303.40815555063</v>
      </c>
    </row>
    <row r="91" spans="1:5" x14ac:dyDescent="0.2">
      <c r="A91" t="s">
        <v>31</v>
      </c>
      <c r="B91" t="s">
        <v>339</v>
      </c>
      <c r="C91" s="34">
        <v>1.2319907743550536</v>
      </c>
      <c r="D91" s="34">
        <v>0.64512782986560724</v>
      </c>
      <c r="E91" s="36">
        <v>40408.722933867575</v>
      </c>
    </row>
    <row r="92" spans="1:5" x14ac:dyDescent="0.2">
      <c r="A92" t="s">
        <v>31</v>
      </c>
      <c r="B92" t="s">
        <v>88</v>
      </c>
      <c r="C92" s="34">
        <v>0.72506360013613746</v>
      </c>
      <c r="D92" s="34">
        <v>0.27093117605539052</v>
      </c>
      <c r="E92" s="36">
        <v>23781.747994559202</v>
      </c>
    </row>
    <row r="93" spans="1:5" x14ac:dyDescent="0.2">
      <c r="A93" t="s">
        <v>31</v>
      </c>
      <c r="B93" t="s">
        <v>340</v>
      </c>
      <c r="C93" s="34">
        <v>0.76503369333090521</v>
      </c>
      <c r="D93" s="34">
        <v>0.25216126158426017</v>
      </c>
      <c r="E93" s="36">
        <v>25092.748413692825</v>
      </c>
    </row>
    <row r="94" spans="1:5" x14ac:dyDescent="0.2">
      <c r="A94" t="s">
        <v>31</v>
      </c>
      <c r="B94" t="s">
        <v>341</v>
      </c>
      <c r="C94" s="34">
        <v>2.8219112230936285</v>
      </c>
      <c r="D94" s="34">
        <v>1.1220353945379293</v>
      </c>
      <c r="E94" s="36">
        <v>92557.372288486789</v>
      </c>
    </row>
    <row r="95" spans="1:5" x14ac:dyDescent="0.2">
      <c r="A95" t="s">
        <v>31</v>
      </c>
      <c r="B95" t="s">
        <v>342</v>
      </c>
      <c r="C95" s="34">
        <v>9.8023056144462402</v>
      </c>
      <c r="D95" s="34">
        <v>1.80875720806337</v>
      </c>
      <c r="E95" s="36">
        <v>321511.05343675171</v>
      </c>
    </row>
    <row r="96" spans="1:5" x14ac:dyDescent="0.2">
      <c r="A96" t="s">
        <v>321</v>
      </c>
      <c r="B96" t="s">
        <v>343</v>
      </c>
      <c r="C96" s="34">
        <v>0.86369945754992217</v>
      </c>
      <c r="D96" s="34">
        <v>0.45552583061851026</v>
      </c>
      <c r="E96" s="36">
        <v>28328.939473217382</v>
      </c>
    </row>
    <row r="97" spans="1:5" x14ac:dyDescent="0.2">
      <c r="A97" t="s">
        <v>321</v>
      </c>
      <c r="B97" t="s">
        <v>91</v>
      </c>
      <c r="C97" s="34">
        <v>0.64075834074008664</v>
      </c>
      <c r="D97" s="34">
        <v>0.18260312889562025</v>
      </c>
      <c r="E97" s="36">
        <v>21016.574797068137</v>
      </c>
    </row>
    <row r="98" spans="1:5" x14ac:dyDescent="0.2">
      <c r="A98" t="s">
        <v>321</v>
      </c>
      <c r="B98" t="s">
        <v>92</v>
      </c>
      <c r="C98" s="34">
        <v>0.68072826664014097</v>
      </c>
      <c r="D98" s="34">
        <v>0.16065954475257999</v>
      </c>
      <c r="E98" s="36">
        <v>22327.569729013168</v>
      </c>
    </row>
    <row r="99" spans="1:5" x14ac:dyDescent="0.2">
      <c r="A99" t="s">
        <v>321</v>
      </c>
      <c r="B99" t="s">
        <v>344</v>
      </c>
      <c r="C99" s="34">
        <v>3.8984500410183647</v>
      </c>
      <c r="D99" s="34">
        <v>1.0830729802456744</v>
      </c>
      <c r="E99" s="36">
        <v>127867.34353713274</v>
      </c>
    </row>
    <row r="100" spans="1:5" x14ac:dyDescent="0.2">
      <c r="A100" t="s">
        <v>321</v>
      </c>
      <c r="B100" t="s">
        <v>345</v>
      </c>
      <c r="C100" s="34">
        <v>9.1926876606937977</v>
      </c>
      <c r="D100" s="34">
        <v>2.7441199713920064</v>
      </c>
      <c r="E100" s="36">
        <v>301515.86881242722</v>
      </c>
    </row>
    <row r="101" spans="1:5" x14ac:dyDescent="0.2">
      <c r="A101" t="s">
        <v>321</v>
      </c>
      <c r="B101" t="s">
        <v>346</v>
      </c>
      <c r="C101" s="34">
        <v>0.54796568426879422</v>
      </c>
      <c r="D101" s="34">
        <v>0.35293005984117898</v>
      </c>
      <c r="E101" s="36">
        <v>17973.018933097534</v>
      </c>
    </row>
    <row r="102" spans="1:5" x14ac:dyDescent="0.2">
      <c r="A102" t="s">
        <v>321</v>
      </c>
      <c r="B102" t="s">
        <v>347</v>
      </c>
      <c r="C102" s="34">
        <v>1.0765425485532125</v>
      </c>
      <c r="D102" s="34">
        <v>0.45590560972252492</v>
      </c>
      <c r="E102" s="36">
        <v>35310.093611520402</v>
      </c>
    </row>
    <row r="103" spans="1:5" x14ac:dyDescent="0.2">
      <c r="A103" t="s">
        <v>321</v>
      </c>
      <c r="B103" t="s">
        <v>348</v>
      </c>
      <c r="C103" s="34">
        <v>6.992169290759831E-2</v>
      </c>
      <c r="D103" s="34">
        <v>4.0672835859509246E-2</v>
      </c>
      <c r="E103" s="36">
        <v>2293.3989235830386</v>
      </c>
    </row>
    <row r="104" spans="1:5" x14ac:dyDescent="0.2">
      <c r="A104" t="s">
        <v>321</v>
      </c>
      <c r="B104" t="s">
        <v>349</v>
      </c>
      <c r="C104" s="34">
        <v>1.1114631733279969</v>
      </c>
      <c r="D104" s="34">
        <v>0.6379153734315588</v>
      </c>
      <c r="E104" s="36">
        <v>36455.473820995205</v>
      </c>
    </row>
    <row r="105" spans="1:5" x14ac:dyDescent="0.2">
      <c r="A105" t="s">
        <v>321</v>
      </c>
      <c r="B105" t="s">
        <v>93</v>
      </c>
      <c r="C105" s="34">
        <v>7.6029857865384693</v>
      </c>
      <c r="D105" s="34">
        <v>2.7347066778939579</v>
      </c>
      <c r="E105" s="36">
        <v>249374.38860221935</v>
      </c>
    </row>
    <row r="106" spans="1:5" x14ac:dyDescent="0.2">
      <c r="A106" t="s">
        <v>44</v>
      </c>
      <c r="B106" t="s">
        <v>350</v>
      </c>
      <c r="C106" s="34">
        <v>0.5747707729004512</v>
      </c>
      <c r="D106" s="34">
        <v>0.23953305886055343</v>
      </c>
      <c r="E106" s="36">
        <v>18852.213341271101</v>
      </c>
    </row>
    <row r="107" spans="1:5" x14ac:dyDescent="0.2">
      <c r="A107" t="s">
        <v>44</v>
      </c>
      <c r="B107" t="s">
        <v>351</v>
      </c>
      <c r="C107" s="34">
        <v>0.28120040298787086</v>
      </c>
      <c r="D107" s="34">
        <v>0.20952964044052283</v>
      </c>
      <c r="E107" s="36">
        <v>9223.2420970662552</v>
      </c>
    </row>
    <row r="108" spans="1:5" x14ac:dyDescent="0.2">
      <c r="A108" t="s">
        <v>44</v>
      </c>
      <c r="B108" t="s">
        <v>96</v>
      </c>
      <c r="C108" s="34">
        <v>2.931678716891704</v>
      </c>
      <c r="D108" s="34">
        <v>0.81204301000363965</v>
      </c>
      <c r="E108" s="36">
        <v>96157.694901578987</v>
      </c>
    </row>
    <row r="109" spans="1:5" x14ac:dyDescent="0.2">
      <c r="A109" t="s">
        <v>48</v>
      </c>
      <c r="B109" t="s">
        <v>352</v>
      </c>
      <c r="C109" s="34">
        <v>0.19132476734583884</v>
      </c>
      <c r="D109" s="34">
        <v>9.540518329211102E-2</v>
      </c>
      <c r="E109" s="36">
        <v>6275.3631561177472</v>
      </c>
    </row>
    <row r="110" spans="1:5" x14ac:dyDescent="0.2">
      <c r="A110" t="s">
        <v>48</v>
      </c>
      <c r="B110" t="s">
        <v>353</v>
      </c>
      <c r="C110" s="34">
        <v>0.30525073245070372</v>
      </c>
      <c r="D110" s="34">
        <v>0.18329303498529007</v>
      </c>
      <c r="E110" s="36">
        <v>10012.081689019047</v>
      </c>
    </row>
    <row r="111" spans="1:5" x14ac:dyDescent="0.2">
      <c r="A111" t="s">
        <v>48</v>
      </c>
      <c r="B111" t="s">
        <v>354</v>
      </c>
      <c r="C111" s="34">
        <v>1.4025673643007055</v>
      </c>
      <c r="D111" s="34">
        <v>0.31068133435254208</v>
      </c>
      <c r="E111" s="36">
        <v>46003.555545926836</v>
      </c>
    </row>
    <row r="112" spans="1:5" x14ac:dyDescent="0.2">
      <c r="A112" t="s">
        <v>48</v>
      </c>
      <c r="B112" t="s">
        <v>355</v>
      </c>
      <c r="C112" s="34">
        <v>0.26805125008691089</v>
      </c>
      <c r="D112" s="34">
        <v>8.1148498811059247E-2</v>
      </c>
      <c r="E112" s="36">
        <v>8791.9560132332736</v>
      </c>
    </row>
    <row r="113" spans="1:5" x14ac:dyDescent="0.2">
      <c r="A113" t="s">
        <v>381</v>
      </c>
      <c r="B113" t="s">
        <v>101</v>
      </c>
      <c r="C113" s="34">
        <v>4.6483824772301535E-2</v>
      </c>
      <c r="D113" s="34">
        <v>4.5554148276855499E-2</v>
      </c>
      <c r="E113" s="36">
        <v>1524.6477775888372</v>
      </c>
    </row>
    <row r="114" spans="1:5" x14ac:dyDescent="0.2">
      <c r="A114" t="s">
        <v>381</v>
      </c>
      <c r="B114" t="s">
        <v>356</v>
      </c>
      <c r="C114" s="34">
        <v>3.8752625140935941</v>
      </c>
      <c r="D114" s="34">
        <v>1.7334082606609049</v>
      </c>
      <c r="E114" s="36">
        <v>127106.80346611219</v>
      </c>
    </row>
    <row r="115" spans="1:5" x14ac:dyDescent="0.2">
      <c r="A115" t="s">
        <v>381</v>
      </c>
      <c r="B115" t="s">
        <v>357</v>
      </c>
      <c r="C115" s="34">
        <v>10.209892514486047</v>
      </c>
      <c r="D115" s="34">
        <v>2.9304063175469177</v>
      </c>
      <c r="E115" s="36">
        <v>334879.7137043617</v>
      </c>
    </row>
    <row r="116" spans="1:5" x14ac:dyDescent="0.2">
      <c r="A116" t="s">
        <v>381</v>
      </c>
      <c r="B116" t="s">
        <v>358</v>
      </c>
      <c r="C116" s="34">
        <v>6.6630754712348104</v>
      </c>
      <c r="D116" s="34">
        <v>2.486116755754368</v>
      </c>
      <c r="E116" s="36">
        <v>218545.76853104026</v>
      </c>
    </row>
    <row r="117" spans="1:5" x14ac:dyDescent="0.2">
      <c r="A117" t="s">
        <v>381</v>
      </c>
      <c r="B117" t="s">
        <v>359</v>
      </c>
      <c r="C117" s="34">
        <v>1.2822506761072265</v>
      </c>
      <c r="D117" s="34">
        <v>0.51524279694812147</v>
      </c>
      <c r="E117" s="36">
        <v>42057.224275649263</v>
      </c>
    </row>
    <row r="118" spans="1:5" x14ac:dyDescent="0.2">
      <c r="A118" t="s">
        <v>381</v>
      </c>
      <c r="B118" t="s">
        <v>360</v>
      </c>
      <c r="C118" s="34">
        <v>3.3601092308480737E-3</v>
      </c>
      <c r="D118" s="34">
        <v>3.2929070462311104E-3</v>
      </c>
      <c r="E118" s="36">
        <v>110.21001598648355</v>
      </c>
    </row>
    <row r="119" spans="1:5" x14ac:dyDescent="0.2">
      <c r="A119" t="s">
        <v>381</v>
      </c>
      <c r="B119" t="s">
        <v>102</v>
      </c>
      <c r="C119" s="34">
        <v>2.6573135998409181</v>
      </c>
      <c r="D119" s="34">
        <v>0.78810801457024349</v>
      </c>
      <c r="E119" s="36">
        <v>87158.646996023628</v>
      </c>
    </row>
    <row r="120" spans="1:5" x14ac:dyDescent="0.2">
      <c r="A120" t="s">
        <v>56</v>
      </c>
      <c r="B120" t="s">
        <v>103</v>
      </c>
      <c r="C120" s="34">
        <v>0.66438714255789044</v>
      </c>
      <c r="D120" s="34">
        <v>0.27607401348346405</v>
      </c>
      <c r="E120" s="36">
        <v>21791.588478818103</v>
      </c>
    </row>
    <row r="121" spans="1:5" x14ac:dyDescent="0.2">
      <c r="A121" t="s">
        <v>56</v>
      </c>
      <c r="B121" t="s">
        <v>104</v>
      </c>
      <c r="C121" s="34">
        <v>8.2905327820890946E-3</v>
      </c>
      <c r="D121" s="34">
        <v>5.0140546080975328E-3</v>
      </c>
      <c r="E121" s="36">
        <v>271.92560945999134</v>
      </c>
    </row>
    <row r="122" spans="1:5" x14ac:dyDescent="0.2">
      <c r="A122" t="s">
        <v>56</v>
      </c>
      <c r="B122" t="s">
        <v>105</v>
      </c>
      <c r="C122" s="34">
        <v>3.0677135078007282E-2</v>
      </c>
      <c r="D122" s="34">
        <v>2.4996340781448655E-2</v>
      </c>
      <c r="E122" s="36">
        <v>1006.1957261173233</v>
      </c>
    </row>
    <row r="123" spans="1:5" x14ac:dyDescent="0.2">
      <c r="A123" t="s">
        <v>56</v>
      </c>
      <c r="B123" t="s">
        <v>106</v>
      </c>
      <c r="C123" s="34">
        <v>6.5096671347481427E-2</v>
      </c>
      <c r="D123" s="34">
        <v>5.8614007611534319E-2</v>
      </c>
      <c r="E123" s="36">
        <v>2135.1404662705081</v>
      </c>
    </row>
    <row r="124" spans="1:5" x14ac:dyDescent="0.2">
      <c r="A124" t="s">
        <v>56</v>
      </c>
      <c r="B124" t="s">
        <v>361</v>
      </c>
      <c r="C124" s="34">
        <v>1.7893535804856024E-2</v>
      </c>
      <c r="D124" s="34">
        <v>1.6031831859614661E-2</v>
      </c>
      <c r="E124" s="36">
        <v>586.89963082246709</v>
      </c>
    </row>
    <row r="125" spans="1:5" x14ac:dyDescent="0.2">
      <c r="A125" t="s">
        <v>56</v>
      </c>
      <c r="B125" t="s">
        <v>362</v>
      </c>
      <c r="C125" s="34">
        <v>1.4012985329765891E-3</v>
      </c>
      <c r="D125" s="34">
        <v>1.0611889295033467E-3</v>
      </c>
      <c r="E125" s="36">
        <v>45.961938470139181</v>
      </c>
    </row>
    <row r="126" spans="1:5" x14ac:dyDescent="0.2">
      <c r="A126" t="s">
        <v>56</v>
      </c>
      <c r="B126" t="s">
        <v>363</v>
      </c>
      <c r="C126" s="34">
        <v>9.5116768740508457E-3</v>
      </c>
      <c r="D126" s="34">
        <v>7.0196607910520334E-3</v>
      </c>
      <c r="E126" s="36">
        <v>311.97856626905809</v>
      </c>
    </row>
    <row r="127" spans="1:5" x14ac:dyDescent="0.2">
      <c r="A127" t="s">
        <v>56</v>
      </c>
      <c r="B127" t="s">
        <v>107</v>
      </c>
      <c r="C127" s="34">
        <v>0.38763861781513625</v>
      </c>
      <c r="D127" s="34">
        <v>0.22303856057299631</v>
      </c>
      <c r="E127" s="36">
        <v>12714.365912325367</v>
      </c>
    </row>
    <row r="128" spans="1:5" x14ac:dyDescent="0.2">
      <c r="A128" t="s">
        <v>382</v>
      </c>
      <c r="B128" t="s">
        <v>364</v>
      </c>
      <c r="C128" s="34">
        <v>7.3323737195359016</v>
      </c>
      <c r="D128" s="34">
        <v>2.1212915986369314</v>
      </c>
      <c r="E128" s="36">
        <v>240498.4389882359</v>
      </c>
    </row>
    <row r="129" spans="3:5" x14ac:dyDescent="0.2">
      <c r="C129" s="34">
        <f>SUBTOTAL(109,Tableau17[Composition _TV_%])</f>
        <v>99.999999999999972</v>
      </c>
      <c r="D129" s="34"/>
      <c r="E129" s="36">
        <f>SUBTOTAL(109,Tableau17[Gisement (en tonnes)])</f>
        <v>3279953.3709999993</v>
      </c>
    </row>
  </sheetData>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16" sqref="C16"/>
    </sheetView>
  </sheetViews>
  <sheetFormatPr baseColWidth="10" defaultRowHeight="12.75" x14ac:dyDescent="0.2"/>
  <cols>
    <col min="1" max="1" width="17.85546875" customWidth="1"/>
    <col min="2" max="2" width="26.5703125" customWidth="1"/>
    <col min="3" max="3" width="22.42578125" customWidth="1"/>
  </cols>
  <sheetData>
    <row r="1" spans="1:4" x14ac:dyDescent="0.2">
      <c r="A1" t="s">
        <v>397</v>
      </c>
    </row>
    <row r="3" spans="1:4" x14ac:dyDescent="0.2">
      <c r="A3" t="s">
        <v>389</v>
      </c>
      <c r="B3" t="s">
        <v>390</v>
      </c>
      <c r="C3" t="s">
        <v>391</v>
      </c>
      <c r="D3" t="s">
        <v>392</v>
      </c>
    </row>
    <row r="4" spans="1:4" x14ac:dyDescent="0.2">
      <c r="A4" t="s">
        <v>393</v>
      </c>
      <c r="B4" s="36">
        <v>383128</v>
      </c>
      <c r="C4" s="36">
        <v>127867</v>
      </c>
      <c r="D4" s="36">
        <v>510995</v>
      </c>
    </row>
    <row r="5" spans="1:4" x14ac:dyDescent="0.2">
      <c r="A5" t="s">
        <v>394</v>
      </c>
      <c r="B5" s="36">
        <v>877109</v>
      </c>
      <c r="C5" s="36">
        <v>287614</v>
      </c>
      <c r="D5" s="36">
        <v>1164723</v>
      </c>
    </row>
    <row r="6" spans="1:4" x14ac:dyDescent="0.2">
      <c r="A6" t="s">
        <v>395</v>
      </c>
      <c r="B6" s="36">
        <v>10171</v>
      </c>
      <c r="C6" s="36">
        <v>296640</v>
      </c>
      <c r="D6" s="36">
        <v>306811</v>
      </c>
    </row>
    <row r="7" spans="1:4" x14ac:dyDescent="0.2">
      <c r="A7" s="526" t="s">
        <v>396</v>
      </c>
      <c r="B7" s="527">
        <v>747</v>
      </c>
      <c r="C7" s="527">
        <v>1190</v>
      </c>
      <c r="D7" s="527">
        <v>1937</v>
      </c>
    </row>
    <row r="8" spans="1:4" x14ac:dyDescent="0.2">
      <c r="B8" s="36">
        <f>SUBTOTAL(109,Tableau19[Bois hors mobilier (en tonnes)])</f>
        <v>1271155</v>
      </c>
      <c r="C8" s="36">
        <f>SUBTOTAL(109,Tableau19[Mobilier bois (en tonnes)])</f>
        <v>713311</v>
      </c>
      <c r="D8" s="36">
        <f>SUBTOTAL(109,Tableau19[[Total ]])</f>
        <v>1984466</v>
      </c>
    </row>
  </sheetData>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9"/>
  <sheetViews>
    <sheetView workbookViewId="0">
      <selection activeCell="C18" sqref="C18"/>
    </sheetView>
  </sheetViews>
  <sheetFormatPr baseColWidth="10" defaultRowHeight="12.75" x14ac:dyDescent="0.2"/>
  <cols>
    <col min="1" max="1" width="40.140625" bestFit="1" customWidth="1"/>
    <col min="2" max="2" width="22.140625" customWidth="1"/>
  </cols>
  <sheetData>
    <row r="3" spans="1:3" x14ac:dyDescent="0.2">
      <c r="A3" t="s">
        <v>403</v>
      </c>
      <c r="B3" t="s">
        <v>404</v>
      </c>
      <c r="C3" t="s">
        <v>398</v>
      </c>
    </row>
    <row r="4" spans="1:3" x14ac:dyDescent="0.2">
      <c r="A4" t="s">
        <v>399</v>
      </c>
      <c r="B4" s="424">
        <v>0.42399999999999999</v>
      </c>
      <c r="C4" s="424">
        <v>0.11</v>
      </c>
    </row>
    <row r="5" spans="1:3" x14ac:dyDescent="0.2">
      <c r="A5" t="s">
        <v>400</v>
      </c>
      <c r="B5" s="424">
        <v>9.6199999999999994E-2</v>
      </c>
      <c r="C5" s="424">
        <v>3.73E-2</v>
      </c>
    </row>
    <row r="6" spans="1:3" x14ac:dyDescent="0.2">
      <c r="A6" t="s">
        <v>401</v>
      </c>
      <c r="B6" s="424">
        <v>0.1075</v>
      </c>
      <c r="C6" s="424">
        <v>3.8900000000000004E-2</v>
      </c>
    </row>
    <row r="7" spans="1:3" x14ac:dyDescent="0.2">
      <c r="A7" t="s">
        <v>399</v>
      </c>
      <c r="B7" s="424">
        <v>0.42399999999999999</v>
      </c>
      <c r="C7" s="424">
        <v>0.11</v>
      </c>
    </row>
    <row r="8" spans="1:3" x14ac:dyDescent="0.2">
      <c r="A8" t="s">
        <v>402</v>
      </c>
      <c r="B8" s="424">
        <v>0.3425586902463526</v>
      </c>
      <c r="C8" s="424">
        <v>9.8000000000000004E-2</v>
      </c>
    </row>
    <row r="9" spans="1:3" x14ac:dyDescent="0.2">
      <c r="A9" t="s">
        <v>401</v>
      </c>
      <c r="B9" s="424">
        <v>0.1075</v>
      </c>
      <c r="C9" s="424">
        <v>3.8900000000000004E-2</v>
      </c>
    </row>
  </sheetData>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85" zoomScaleNormal="85" workbookViewId="0"/>
  </sheetViews>
  <sheetFormatPr baseColWidth="10" defaultColWidth="11.42578125" defaultRowHeight="15" x14ac:dyDescent="0.25"/>
  <cols>
    <col min="1" max="1" width="14" style="528" customWidth="1"/>
    <col min="2" max="2" width="9.7109375" style="528" customWidth="1"/>
    <col min="3" max="3" width="39.7109375" style="528" customWidth="1"/>
    <col min="4" max="4" width="31" style="528" customWidth="1"/>
    <col min="5" max="5" width="102.85546875" style="528" customWidth="1"/>
    <col min="6" max="16384" width="11.42578125" style="528"/>
  </cols>
  <sheetData>
    <row r="1" spans="1:5" ht="35.1" customHeight="1" thickBot="1" x14ac:dyDescent="0.3">
      <c r="C1" s="529" t="s">
        <v>413</v>
      </c>
      <c r="D1" s="530" t="s">
        <v>414</v>
      </c>
      <c r="E1" s="530" t="s">
        <v>414</v>
      </c>
    </row>
    <row r="2" spans="1:5" s="533" customFormat="1" ht="22.5" customHeight="1" thickBot="1" x14ac:dyDescent="0.25">
      <c r="A2" s="531" t="s">
        <v>115</v>
      </c>
      <c r="B2" s="532" t="s">
        <v>415</v>
      </c>
      <c r="C2" s="531" t="s">
        <v>416</v>
      </c>
      <c r="D2" s="532" t="s">
        <v>416</v>
      </c>
      <c r="E2" s="532" t="s">
        <v>417</v>
      </c>
    </row>
    <row r="3" spans="1:5" ht="35.1" customHeight="1" x14ac:dyDescent="0.25">
      <c r="A3" s="624" t="s">
        <v>133</v>
      </c>
      <c r="B3" s="534" t="s">
        <v>418</v>
      </c>
      <c r="C3" s="535" t="s">
        <v>419</v>
      </c>
      <c r="D3" s="535" t="s">
        <v>420</v>
      </c>
      <c r="E3" s="577" t="s">
        <v>421</v>
      </c>
    </row>
    <row r="4" spans="1:5" ht="35.1" customHeight="1" x14ac:dyDescent="0.25">
      <c r="A4" s="630"/>
      <c r="B4" s="536" t="s">
        <v>422</v>
      </c>
      <c r="C4" s="537" t="s">
        <v>423</v>
      </c>
      <c r="D4" s="538" t="s">
        <v>65</v>
      </c>
      <c r="E4" s="538" t="s">
        <v>424</v>
      </c>
    </row>
    <row r="5" spans="1:5" ht="35.1" customHeight="1" x14ac:dyDescent="0.25">
      <c r="A5" s="630"/>
      <c r="B5" s="536" t="s">
        <v>425</v>
      </c>
      <c r="C5" s="537" t="s">
        <v>426</v>
      </c>
      <c r="D5" s="538" t="s">
        <v>427</v>
      </c>
      <c r="E5" s="538" t="s">
        <v>428</v>
      </c>
    </row>
    <row r="6" spans="1:5" ht="35.1" customHeight="1" x14ac:dyDescent="0.25">
      <c r="A6" s="630"/>
      <c r="B6" s="536" t="s">
        <v>429</v>
      </c>
      <c r="C6" s="537" t="s">
        <v>68</v>
      </c>
      <c r="D6" s="537" t="s">
        <v>67</v>
      </c>
      <c r="E6" s="538" t="s">
        <v>430</v>
      </c>
    </row>
    <row r="7" spans="1:5" ht="35.1" customHeight="1" thickBot="1" x14ac:dyDescent="0.3">
      <c r="A7" s="627"/>
      <c r="B7" s="536" t="s">
        <v>431</v>
      </c>
      <c r="C7" s="539"/>
      <c r="D7" s="539" t="s">
        <v>68</v>
      </c>
      <c r="E7" s="572" t="s">
        <v>432</v>
      </c>
    </row>
    <row r="8" spans="1:5" ht="35.1" customHeight="1" x14ac:dyDescent="0.25">
      <c r="A8" s="624" t="s">
        <v>433</v>
      </c>
      <c r="B8" s="534" t="s">
        <v>434</v>
      </c>
      <c r="C8" s="540" t="s">
        <v>69</v>
      </c>
      <c r="D8" s="541" t="s">
        <v>69</v>
      </c>
      <c r="E8" s="550" t="s">
        <v>539</v>
      </c>
    </row>
    <row r="9" spans="1:5" ht="42.75" customHeight="1" x14ac:dyDescent="0.25">
      <c r="A9" s="627"/>
      <c r="B9" s="536" t="s">
        <v>435</v>
      </c>
      <c r="C9" s="542" t="s">
        <v>436</v>
      </c>
      <c r="D9" s="543" t="s">
        <v>436</v>
      </c>
      <c r="E9" s="544" t="s">
        <v>545</v>
      </c>
    </row>
    <row r="10" spans="1:5" ht="39" customHeight="1" x14ac:dyDescent="0.25">
      <c r="A10" s="627"/>
      <c r="B10" s="536" t="s">
        <v>437</v>
      </c>
      <c r="C10" s="545" t="s">
        <v>438</v>
      </c>
      <c r="D10" s="544" t="s">
        <v>438</v>
      </c>
      <c r="E10" s="544" t="s">
        <v>439</v>
      </c>
    </row>
    <row r="11" spans="1:5" ht="35.1" customHeight="1" x14ac:dyDescent="0.25">
      <c r="A11" s="627"/>
      <c r="B11" s="536" t="s">
        <v>440</v>
      </c>
      <c r="C11" s="545" t="s">
        <v>165</v>
      </c>
      <c r="D11" s="544" t="s">
        <v>165</v>
      </c>
      <c r="E11" s="544" t="s">
        <v>441</v>
      </c>
    </row>
    <row r="12" spans="1:5" ht="35.1" customHeight="1" thickBot="1" x14ac:dyDescent="0.3">
      <c r="A12" s="626"/>
      <c r="B12" s="546" t="s">
        <v>442</v>
      </c>
      <c r="C12" s="547" t="s">
        <v>443</v>
      </c>
      <c r="D12" s="548" t="s">
        <v>443</v>
      </c>
      <c r="E12" s="549" t="s">
        <v>444</v>
      </c>
    </row>
    <row r="13" spans="1:5" ht="39.75" customHeight="1" x14ac:dyDescent="0.25">
      <c r="A13" s="624" t="s">
        <v>445</v>
      </c>
      <c r="B13" s="534" t="s">
        <v>446</v>
      </c>
      <c r="C13" s="540" t="s">
        <v>447</v>
      </c>
      <c r="D13" s="541" t="s">
        <v>447</v>
      </c>
      <c r="E13" s="550" t="s">
        <v>448</v>
      </c>
    </row>
    <row r="14" spans="1:5" ht="35.1" customHeight="1" x14ac:dyDescent="0.25">
      <c r="A14" s="627"/>
      <c r="B14" s="536" t="s">
        <v>449</v>
      </c>
      <c r="C14" s="542" t="s">
        <v>450</v>
      </c>
      <c r="D14" s="543" t="s">
        <v>450</v>
      </c>
      <c r="E14" s="544" t="s">
        <v>451</v>
      </c>
    </row>
    <row r="15" spans="1:5" ht="35.1" customHeight="1" thickBot="1" x14ac:dyDescent="0.3">
      <c r="A15" s="626"/>
      <c r="B15" s="546" t="s">
        <v>452</v>
      </c>
      <c r="C15" s="547" t="s">
        <v>453</v>
      </c>
      <c r="D15" s="548" t="s">
        <v>453</v>
      </c>
      <c r="E15" s="549" t="s">
        <v>454</v>
      </c>
    </row>
    <row r="16" spans="1:5" ht="35.1" customHeight="1" x14ac:dyDescent="0.25">
      <c r="A16" s="624" t="s">
        <v>136</v>
      </c>
      <c r="B16" s="534" t="s">
        <v>455</v>
      </c>
      <c r="C16" s="540" t="s">
        <v>456</v>
      </c>
      <c r="D16" s="541" t="s">
        <v>457</v>
      </c>
      <c r="E16" s="550" t="s">
        <v>458</v>
      </c>
    </row>
    <row r="17" spans="1:5" ht="35.1" customHeight="1" x14ac:dyDescent="0.25">
      <c r="A17" s="627"/>
      <c r="B17" s="536" t="s">
        <v>459</v>
      </c>
      <c r="C17" s="542" t="s">
        <v>78</v>
      </c>
      <c r="D17" s="543" t="s">
        <v>78</v>
      </c>
      <c r="E17" s="544" t="s">
        <v>540</v>
      </c>
    </row>
    <row r="18" spans="1:5" ht="46.5" customHeight="1" x14ac:dyDescent="0.25">
      <c r="A18" s="631"/>
      <c r="B18" s="551" t="s">
        <v>460</v>
      </c>
      <c r="C18" s="552" t="s">
        <v>461</v>
      </c>
      <c r="D18" s="553" t="s">
        <v>461</v>
      </c>
      <c r="E18" s="554" t="s">
        <v>462</v>
      </c>
    </row>
    <row r="19" spans="1:5" ht="35.1" customHeight="1" thickBot="1" x14ac:dyDescent="0.3">
      <c r="A19" s="626"/>
      <c r="B19" s="546" t="s">
        <v>463</v>
      </c>
      <c r="C19" s="547"/>
      <c r="D19" s="555"/>
      <c r="E19" s="549"/>
    </row>
    <row r="20" spans="1:5" ht="63.75" customHeight="1" thickBot="1" x14ac:dyDescent="0.3">
      <c r="A20" s="556" t="s">
        <v>464</v>
      </c>
      <c r="B20" s="557" t="s">
        <v>465</v>
      </c>
      <c r="C20" s="558" t="s">
        <v>26</v>
      </c>
      <c r="D20" s="559" t="s">
        <v>26</v>
      </c>
      <c r="E20" s="559" t="s">
        <v>541</v>
      </c>
    </row>
    <row r="21" spans="1:5" ht="35.1" customHeight="1" x14ac:dyDescent="0.25">
      <c r="A21" s="624" t="s">
        <v>138</v>
      </c>
      <c r="B21" s="534" t="s">
        <v>466</v>
      </c>
      <c r="C21" s="540" t="s">
        <v>467</v>
      </c>
      <c r="D21" s="550" t="s">
        <v>80</v>
      </c>
      <c r="E21" s="550" t="s">
        <v>468</v>
      </c>
    </row>
    <row r="22" spans="1:5" ht="35.1" customHeight="1" x14ac:dyDescent="0.25">
      <c r="A22" s="625"/>
      <c r="B22" s="560" t="s">
        <v>469</v>
      </c>
      <c r="C22" s="561" t="s">
        <v>470</v>
      </c>
      <c r="D22" s="562" t="s">
        <v>471</v>
      </c>
      <c r="E22" s="582" t="s">
        <v>472</v>
      </c>
    </row>
    <row r="23" spans="1:5" ht="35.1" customHeight="1" thickBot="1" x14ac:dyDescent="0.3">
      <c r="A23" s="626"/>
      <c r="B23" s="546" t="s">
        <v>473</v>
      </c>
      <c r="C23" s="547"/>
      <c r="D23" s="548" t="s">
        <v>470</v>
      </c>
      <c r="E23" s="549" t="s">
        <v>474</v>
      </c>
    </row>
    <row r="24" spans="1:5" ht="30.75" customHeight="1" x14ac:dyDescent="0.25">
      <c r="A24" s="628" t="s">
        <v>139</v>
      </c>
      <c r="B24" s="534" t="s">
        <v>475</v>
      </c>
      <c r="C24" s="540" t="s">
        <v>476</v>
      </c>
      <c r="D24" s="541" t="s">
        <v>477</v>
      </c>
      <c r="E24" s="550" t="s">
        <v>478</v>
      </c>
    </row>
    <row r="25" spans="1:5" ht="35.25" customHeight="1" x14ac:dyDescent="0.25">
      <c r="A25" s="629"/>
      <c r="B25" s="536" t="s">
        <v>479</v>
      </c>
      <c r="C25" s="545" t="s">
        <v>86</v>
      </c>
      <c r="D25" s="563" t="s">
        <v>84</v>
      </c>
      <c r="E25" s="564" t="s">
        <v>546</v>
      </c>
    </row>
    <row r="26" spans="1:5" ht="47.25" customHeight="1" x14ac:dyDescent="0.25">
      <c r="A26" s="629"/>
      <c r="B26" s="536" t="s">
        <v>480</v>
      </c>
      <c r="C26" s="545" t="s">
        <v>87</v>
      </c>
      <c r="D26" s="564" t="s">
        <v>85</v>
      </c>
      <c r="E26" s="564" t="s">
        <v>481</v>
      </c>
    </row>
    <row r="27" spans="1:5" ht="35.1" customHeight="1" x14ac:dyDescent="0.25">
      <c r="A27" s="629"/>
      <c r="B27" s="536" t="s">
        <v>482</v>
      </c>
      <c r="C27" s="545" t="s">
        <v>88</v>
      </c>
      <c r="D27" s="544" t="s">
        <v>86</v>
      </c>
      <c r="E27" s="544" t="s">
        <v>483</v>
      </c>
    </row>
    <row r="28" spans="1:5" ht="35.1" customHeight="1" x14ac:dyDescent="0.25">
      <c r="A28" s="629"/>
      <c r="B28" s="536" t="s">
        <v>484</v>
      </c>
      <c r="C28" s="545" t="s">
        <v>89</v>
      </c>
      <c r="D28" s="544" t="s">
        <v>87</v>
      </c>
      <c r="E28" s="544" t="s">
        <v>485</v>
      </c>
    </row>
    <row r="29" spans="1:5" ht="64.5" customHeight="1" x14ac:dyDescent="0.25">
      <c r="A29" s="629"/>
      <c r="B29" s="536" t="s">
        <v>486</v>
      </c>
      <c r="C29" s="545"/>
      <c r="D29" s="544" t="s">
        <v>88</v>
      </c>
      <c r="E29" s="544" t="s">
        <v>547</v>
      </c>
    </row>
    <row r="30" spans="1:5" ht="66.75" customHeight="1" thickBot="1" x14ac:dyDescent="0.3">
      <c r="A30" s="629"/>
      <c r="B30" s="536" t="s">
        <v>487</v>
      </c>
      <c r="C30" s="565"/>
      <c r="D30" s="566" t="s">
        <v>89</v>
      </c>
      <c r="E30" s="566" t="s">
        <v>488</v>
      </c>
    </row>
    <row r="31" spans="1:5" ht="35.1" customHeight="1" x14ac:dyDescent="0.25">
      <c r="A31" s="624" t="s">
        <v>489</v>
      </c>
      <c r="B31" s="567" t="s">
        <v>490</v>
      </c>
      <c r="C31" s="568" t="s">
        <v>491</v>
      </c>
      <c r="D31" s="550" t="s">
        <v>491</v>
      </c>
      <c r="E31" s="550" t="s">
        <v>492</v>
      </c>
    </row>
    <row r="32" spans="1:5" ht="35.1" customHeight="1" x14ac:dyDescent="0.25">
      <c r="A32" s="625"/>
      <c r="B32" s="536" t="s">
        <v>493</v>
      </c>
      <c r="C32" s="569" t="s">
        <v>93</v>
      </c>
      <c r="D32" s="554" t="s">
        <v>91</v>
      </c>
      <c r="E32" s="554" t="s">
        <v>494</v>
      </c>
    </row>
    <row r="33" spans="1:5" ht="35.1" customHeight="1" x14ac:dyDescent="0.25">
      <c r="A33" s="625"/>
      <c r="B33" s="570" t="s">
        <v>495</v>
      </c>
      <c r="C33" s="545"/>
      <c r="D33" s="544" t="s">
        <v>92</v>
      </c>
      <c r="E33" s="544" t="s">
        <v>496</v>
      </c>
    </row>
    <row r="34" spans="1:5" ht="53.25" customHeight="1" thickBot="1" x14ac:dyDescent="0.3">
      <c r="A34" s="626"/>
      <c r="B34" s="546" t="s">
        <v>497</v>
      </c>
      <c r="C34" s="571"/>
      <c r="D34" s="572" t="s">
        <v>93</v>
      </c>
      <c r="E34" s="572" t="s">
        <v>542</v>
      </c>
    </row>
    <row r="35" spans="1:5" ht="35.1" customHeight="1" x14ac:dyDescent="0.25">
      <c r="A35" s="624" t="s">
        <v>141</v>
      </c>
      <c r="B35" s="567" t="s">
        <v>498</v>
      </c>
      <c r="C35" s="568" t="s">
        <v>94</v>
      </c>
      <c r="D35" s="550" t="s">
        <v>94</v>
      </c>
      <c r="E35" s="550" t="s">
        <v>499</v>
      </c>
    </row>
    <row r="36" spans="1:5" ht="35.1" customHeight="1" x14ac:dyDescent="0.25">
      <c r="A36" s="627"/>
      <c r="B36" s="573" t="s">
        <v>500</v>
      </c>
      <c r="C36" s="545" t="s">
        <v>501</v>
      </c>
      <c r="D36" s="544" t="s">
        <v>501</v>
      </c>
      <c r="E36" s="544" t="s">
        <v>502</v>
      </c>
    </row>
    <row r="37" spans="1:5" ht="35.1" customHeight="1" thickBot="1" x14ac:dyDescent="0.3">
      <c r="A37" s="626"/>
      <c r="B37" s="574" t="s">
        <v>503</v>
      </c>
      <c r="C37" s="575" t="s">
        <v>96</v>
      </c>
      <c r="D37" s="549" t="s">
        <v>96</v>
      </c>
      <c r="E37" s="549" t="s">
        <v>504</v>
      </c>
    </row>
    <row r="38" spans="1:5" ht="37.5" customHeight="1" x14ac:dyDescent="0.25">
      <c r="A38" s="628" t="s">
        <v>142</v>
      </c>
      <c r="B38" s="534" t="s">
        <v>505</v>
      </c>
      <c r="C38" s="576" t="s">
        <v>97</v>
      </c>
      <c r="D38" s="577" t="s">
        <v>97</v>
      </c>
      <c r="E38" s="577" t="s">
        <v>506</v>
      </c>
    </row>
    <row r="39" spans="1:5" ht="35.1" customHeight="1" x14ac:dyDescent="0.25">
      <c r="A39" s="629"/>
      <c r="B39" s="536" t="s">
        <v>507</v>
      </c>
      <c r="C39" s="578" t="s">
        <v>98</v>
      </c>
      <c r="D39" s="538" t="s">
        <v>98</v>
      </c>
      <c r="E39" s="538" t="s">
        <v>543</v>
      </c>
    </row>
    <row r="40" spans="1:5" ht="35.1" customHeight="1" x14ac:dyDescent="0.25">
      <c r="A40" s="629"/>
      <c r="B40" s="536" t="s">
        <v>508</v>
      </c>
      <c r="C40" s="578" t="s">
        <v>99</v>
      </c>
      <c r="D40" s="538" t="s">
        <v>99</v>
      </c>
      <c r="E40" s="538" t="s">
        <v>509</v>
      </c>
    </row>
    <row r="41" spans="1:5" ht="41.25" customHeight="1" thickBot="1" x14ac:dyDescent="0.3">
      <c r="A41" s="629"/>
      <c r="B41" s="536" t="s">
        <v>510</v>
      </c>
      <c r="C41" s="579" t="s">
        <v>511</v>
      </c>
      <c r="D41" s="539" t="s">
        <v>100</v>
      </c>
      <c r="E41" s="572" t="s">
        <v>548</v>
      </c>
    </row>
    <row r="42" spans="1:5" ht="35.1" customHeight="1" x14ac:dyDescent="0.25">
      <c r="A42" s="624" t="s">
        <v>512</v>
      </c>
      <c r="B42" s="534" t="s">
        <v>513</v>
      </c>
      <c r="C42" s="540" t="s">
        <v>101</v>
      </c>
      <c r="D42" s="541" t="s">
        <v>101</v>
      </c>
      <c r="E42" s="550" t="s">
        <v>514</v>
      </c>
    </row>
    <row r="43" spans="1:5" ht="35.1" customHeight="1" thickBot="1" x14ac:dyDescent="0.3">
      <c r="A43" s="626"/>
      <c r="B43" s="546" t="s">
        <v>515</v>
      </c>
      <c r="C43" s="547" t="s">
        <v>102</v>
      </c>
      <c r="D43" s="548" t="s">
        <v>102</v>
      </c>
      <c r="E43" s="549" t="s">
        <v>544</v>
      </c>
    </row>
    <row r="44" spans="1:5" ht="102" customHeight="1" x14ac:dyDescent="0.25">
      <c r="A44" s="628" t="s">
        <v>144</v>
      </c>
      <c r="B44" s="534" t="s">
        <v>516</v>
      </c>
      <c r="C44" s="540" t="s">
        <v>517</v>
      </c>
      <c r="D44" s="541" t="s">
        <v>103</v>
      </c>
      <c r="E44" s="550" t="s">
        <v>518</v>
      </c>
    </row>
    <row r="45" spans="1:5" ht="35.1" customHeight="1" x14ac:dyDescent="0.25">
      <c r="A45" s="629"/>
      <c r="B45" s="536" t="s">
        <v>519</v>
      </c>
      <c r="C45" s="542" t="s">
        <v>104</v>
      </c>
      <c r="D45" s="543" t="s">
        <v>520</v>
      </c>
      <c r="E45" s="544" t="s">
        <v>521</v>
      </c>
    </row>
    <row r="46" spans="1:5" ht="35.1" customHeight="1" x14ac:dyDescent="0.25">
      <c r="A46" s="629"/>
      <c r="B46" s="536" t="s">
        <v>522</v>
      </c>
      <c r="C46" s="542" t="s">
        <v>105</v>
      </c>
      <c r="D46" s="543" t="s">
        <v>105</v>
      </c>
      <c r="E46" s="544" t="s">
        <v>523</v>
      </c>
    </row>
    <row r="47" spans="1:5" ht="44.25" customHeight="1" x14ac:dyDescent="0.25">
      <c r="A47" s="629"/>
      <c r="B47" s="536" t="s">
        <v>524</v>
      </c>
      <c r="C47" s="542" t="s">
        <v>107</v>
      </c>
      <c r="D47" s="544" t="s">
        <v>106</v>
      </c>
      <c r="E47" s="544" t="s">
        <v>525</v>
      </c>
    </row>
    <row r="48" spans="1:5" ht="63" customHeight="1" thickBot="1" x14ac:dyDescent="0.3">
      <c r="A48" s="629"/>
      <c r="B48" s="536" t="s">
        <v>526</v>
      </c>
      <c r="C48" s="542"/>
      <c r="D48" s="543" t="s">
        <v>107</v>
      </c>
      <c r="E48" s="581" t="s">
        <v>527</v>
      </c>
    </row>
    <row r="49" spans="1:5" ht="35.1" hidden="1" customHeight="1" x14ac:dyDescent="0.25">
      <c r="A49" s="629"/>
      <c r="B49" s="536" t="s">
        <v>528</v>
      </c>
      <c r="C49" s="552"/>
      <c r="D49" s="580"/>
      <c r="E49" s="554"/>
    </row>
    <row r="50" spans="1:5" ht="35.1" hidden="1" customHeight="1" x14ac:dyDescent="0.25">
      <c r="A50" s="629"/>
      <c r="B50" s="536" t="s">
        <v>529</v>
      </c>
      <c r="C50" s="552"/>
      <c r="D50" s="580"/>
      <c r="E50" s="554"/>
    </row>
    <row r="51" spans="1:5" ht="35.1" hidden="1" customHeight="1" x14ac:dyDescent="0.25">
      <c r="A51" s="629"/>
      <c r="B51" s="536" t="s">
        <v>530</v>
      </c>
      <c r="C51" s="552"/>
      <c r="D51" s="580"/>
      <c r="E51" s="554"/>
    </row>
    <row r="52" spans="1:5" ht="35.1" hidden="1" customHeight="1" thickBot="1" x14ac:dyDescent="0.3">
      <c r="A52" s="629"/>
      <c r="B52" s="546" t="s">
        <v>531</v>
      </c>
      <c r="C52" s="547"/>
      <c r="D52" s="548"/>
      <c r="E52" s="549"/>
    </row>
    <row r="53" spans="1:5" ht="35.1" customHeight="1" x14ac:dyDescent="0.25">
      <c r="A53" s="624" t="s">
        <v>532</v>
      </c>
      <c r="B53" s="534" t="s">
        <v>533</v>
      </c>
      <c r="C53" s="540" t="s">
        <v>534</v>
      </c>
      <c r="D53" s="541" t="s">
        <v>534</v>
      </c>
      <c r="E53" s="550" t="s">
        <v>535</v>
      </c>
    </row>
    <row r="54" spans="1:5" ht="35.1" customHeight="1" thickBot="1" x14ac:dyDescent="0.3">
      <c r="A54" s="626"/>
      <c r="B54" s="546" t="s">
        <v>536</v>
      </c>
      <c r="C54" s="547" t="s">
        <v>537</v>
      </c>
      <c r="D54" s="548" t="s">
        <v>537</v>
      </c>
      <c r="E54" s="549" t="s">
        <v>538</v>
      </c>
    </row>
  </sheetData>
  <mergeCells count="12">
    <mergeCell ref="A53:A54"/>
    <mergeCell ref="A3:A7"/>
    <mergeCell ref="A8:A12"/>
    <mergeCell ref="A13:A15"/>
    <mergeCell ref="A16:A19"/>
    <mergeCell ref="A21:A23"/>
    <mergeCell ref="A24:A30"/>
    <mergeCell ref="A31:A34"/>
    <mergeCell ref="A35:A37"/>
    <mergeCell ref="A38:A41"/>
    <mergeCell ref="A42:A43"/>
    <mergeCell ref="A44:A52"/>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85" zoomScaleNormal="85" workbookViewId="0">
      <selection activeCell="D1" sqref="D1"/>
    </sheetView>
  </sheetViews>
  <sheetFormatPr baseColWidth="10" defaultColWidth="11.42578125" defaultRowHeight="15" x14ac:dyDescent="0.25"/>
  <cols>
    <col min="1" max="1" width="14" style="528" customWidth="1"/>
    <col min="2" max="2" width="9.7109375" style="528" customWidth="1"/>
    <col min="3" max="3" width="48.85546875" style="528" hidden="1" customWidth="1"/>
    <col min="4" max="4" width="36" style="528" customWidth="1"/>
    <col min="5" max="5" width="89.5703125" style="528" customWidth="1"/>
    <col min="6" max="16384" width="11.42578125" style="528"/>
  </cols>
  <sheetData>
    <row r="1" spans="1:5" ht="26.25" customHeight="1" thickBot="1" x14ac:dyDescent="0.3">
      <c r="C1" s="583" t="s">
        <v>549</v>
      </c>
      <c r="D1" s="584" t="s">
        <v>550</v>
      </c>
      <c r="E1" s="584" t="s">
        <v>414</v>
      </c>
    </row>
    <row r="2" spans="1:5" ht="15.75" thickBot="1" x14ac:dyDescent="0.3">
      <c r="A2" s="531" t="s">
        <v>115</v>
      </c>
      <c r="B2" s="532" t="s">
        <v>415</v>
      </c>
      <c r="C2" s="532" t="s">
        <v>416</v>
      </c>
      <c r="D2" s="532" t="s">
        <v>416</v>
      </c>
      <c r="E2" s="532" t="s">
        <v>417</v>
      </c>
    </row>
    <row r="3" spans="1:5" ht="24" x14ac:dyDescent="0.25">
      <c r="A3" s="624" t="s">
        <v>133</v>
      </c>
      <c r="B3" s="534" t="s">
        <v>418</v>
      </c>
      <c r="C3" s="535" t="s">
        <v>420</v>
      </c>
      <c r="D3" s="632" t="s">
        <v>551</v>
      </c>
      <c r="E3" s="634" t="s">
        <v>552</v>
      </c>
    </row>
    <row r="4" spans="1:5" x14ac:dyDescent="0.25">
      <c r="A4" s="630"/>
      <c r="B4" s="536" t="s">
        <v>422</v>
      </c>
      <c r="C4" s="538" t="s">
        <v>65</v>
      </c>
      <c r="D4" s="641"/>
      <c r="E4" s="640"/>
    </row>
    <row r="5" spans="1:5" x14ac:dyDescent="0.25">
      <c r="A5" s="630"/>
      <c r="B5" s="536" t="s">
        <v>425</v>
      </c>
      <c r="C5" s="538" t="s">
        <v>427</v>
      </c>
      <c r="D5" s="642"/>
      <c r="E5" s="643"/>
    </row>
    <row r="6" spans="1:5" x14ac:dyDescent="0.25">
      <c r="A6" s="630"/>
      <c r="B6" s="536" t="s">
        <v>429</v>
      </c>
      <c r="C6" s="537" t="s">
        <v>67</v>
      </c>
      <c r="D6" s="537" t="s">
        <v>67</v>
      </c>
      <c r="E6" s="538" t="s">
        <v>430</v>
      </c>
    </row>
    <row r="7" spans="1:5" ht="24.75" thickBot="1" x14ac:dyDescent="0.3">
      <c r="A7" s="627"/>
      <c r="B7" s="536" t="s">
        <v>431</v>
      </c>
      <c r="C7" s="539" t="s">
        <v>68</v>
      </c>
      <c r="D7" s="539" t="s">
        <v>68</v>
      </c>
      <c r="E7" s="572" t="s">
        <v>432</v>
      </c>
    </row>
    <row r="8" spans="1:5" x14ac:dyDescent="0.25">
      <c r="A8" s="644" t="s">
        <v>433</v>
      </c>
      <c r="B8" s="534" t="s">
        <v>434</v>
      </c>
      <c r="C8" s="541" t="s">
        <v>69</v>
      </c>
      <c r="D8" s="632" t="s">
        <v>73</v>
      </c>
      <c r="E8" s="634" t="s">
        <v>553</v>
      </c>
    </row>
    <row r="9" spans="1:5" x14ac:dyDescent="0.25">
      <c r="A9" s="645"/>
      <c r="B9" s="536" t="s">
        <v>435</v>
      </c>
      <c r="C9" s="543" t="s">
        <v>436</v>
      </c>
      <c r="D9" s="641"/>
      <c r="E9" s="640"/>
    </row>
    <row r="10" spans="1:5" x14ac:dyDescent="0.25">
      <c r="A10" s="645"/>
      <c r="B10" s="536" t="s">
        <v>437</v>
      </c>
      <c r="C10" s="544" t="s">
        <v>438</v>
      </c>
      <c r="D10" s="641"/>
      <c r="E10" s="640"/>
    </row>
    <row r="11" spans="1:5" x14ac:dyDescent="0.25">
      <c r="A11" s="645"/>
      <c r="B11" s="536" t="s">
        <v>440</v>
      </c>
      <c r="C11" s="544" t="s">
        <v>165</v>
      </c>
      <c r="D11" s="641"/>
      <c r="E11" s="640"/>
    </row>
    <row r="12" spans="1:5" x14ac:dyDescent="0.25">
      <c r="A12" s="645"/>
      <c r="B12" s="551" t="s">
        <v>442</v>
      </c>
      <c r="C12" s="553" t="s">
        <v>443</v>
      </c>
      <c r="D12" s="642"/>
      <c r="E12" s="643"/>
    </row>
    <row r="13" spans="1:5" ht="15.75" thickBot="1" x14ac:dyDescent="0.3">
      <c r="A13" s="646"/>
      <c r="B13" s="585" t="s">
        <v>554</v>
      </c>
      <c r="C13" s="539"/>
      <c r="D13" s="539" t="s">
        <v>329</v>
      </c>
      <c r="E13" s="572" t="s">
        <v>555</v>
      </c>
    </row>
    <row r="14" spans="1:5" ht="36" x14ac:dyDescent="0.25">
      <c r="A14" s="624" t="s">
        <v>445</v>
      </c>
      <c r="B14" s="534" t="s">
        <v>446</v>
      </c>
      <c r="C14" s="541" t="s">
        <v>447</v>
      </c>
      <c r="D14" s="541" t="s">
        <v>447</v>
      </c>
      <c r="E14" s="550" t="s">
        <v>556</v>
      </c>
    </row>
    <row r="15" spans="1:5" x14ac:dyDescent="0.25">
      <c r="A15" s="627"/>
      <c r="B15" s="536" t="s">
        <v>449</v>
      </c>
      <c r="C15" s="543" t="s">
        <v>450</v>
      </c>
      <c r="D15" s="543" t="s">
        <v>450</v>
      </c>
      <c r="E15" s="544" t="s">
        <v>451</v>
      </c>
    </row>
    <row r="16" spans="1:5" ht="24.75" thickBot="1" x14ac:dyDescent="0.3">
      <c r="A16" s="626"/>
      <c r="B16" s="546" t="s">
        <v>452</v>
      </c>
      <c r="C16" s="548" t="s">
        <v>453</v>
      </c>
      <c r="D16" s="548" t="s">
        <v>76</v>
      </c>
      <c r="E16" s="549" t="s">
        <v>454</v>
      </c>
    </row>
    <row r="17" spans="1:5" x14ac:dyDescent="0.25">
      <c r="A17" s="624" t="s">
        <v>136</v>
      </c>
      <c r="B17" s="534" t="s">
        <v>455</v>
      </c>
      <c r="C17" s="541" t="s">
        <v>457</v>
      </c>
      <c r="D17" s="541" t="s">
        <v>457</v>
      </c>
      <c r="E17" s="550" t="s">
        <v>458</v>
      </c>
    </row>
    <row r="18" spans="1:5" ht="24" x14ac:dyDescent="0.25">
      <c r="A18" s="627"/>
      <c r="B18" s="536" t="s">
        <v>459</v>
      </c>
      <c r="C18" s="543" t="s">
        <v>78</v>
      </c>
      <c r="D18" s="543" t="s">
        <v>78</v>
      </c>
      <c r="E18" s="544" t="s">
        <v>611</v>
      </c>
    </row>
    <row r="19" spans="1:5" ht="36" x14ac:dyDescent="0.25">
      <c r="A19" s="631"/>
      <c r="B19" s="551" t="s">
        <v>460</v>
      </c>
      <c r="C19" s="553" t="s">
        <v>461</v>
      </c>
      <c r="D19" s="553" t="s">
        <v>330</v>
      </c>
      <c r="E19" s="554" t="s">
        <v>557</v>
      </c>
    </row>
    <row r="20" spans="1:5" x14ac:dyDescent="0.25">
      <c r="A20" s="631"/>
      <c r="B20" s="536" t="s">
        <v>463</v>
      </c>
      <c r="C20" s="553"/>
      <c r="D20" s="553" t="s">
        <v>331</v>
      </c>
      <c r="E20" s="554" t="s">
        <v>558</v>
      </c>
    </row>
    <row r="21" spans="1:5" x14ac:dyDescent="0.25">
      <c r="A21" s="631"/>
      <c r="B21" s="551" t="s">
        <v>559</v>
      </c>
      <c r="C21" s="553"/>
      <c r="D21" s="553" t="s">
        <v>332</v>
      </c>
      <c r="E21" s="554" t="s">
        <v>560</v>
      </c>
    </row>
    <row r="22" spans="1:5" x14ac:dyDescent="0.25">
      <c r="A22" s="631"/>
      <c r="B22" s="536" t="s">
        <v>561</v>
      </c>
      <c r="C22" s="553"/>
      <c r="D22" s="553" t="s">
        <v>333</v>
      </c>
      <c r="E22" s="554" t="s">
        <v>562</v>
      </c>
    </row>
    <row r="23" spans="1:5" ht="15.75" thickBot="1" x14ac:dyDescent="0.3">
      <c r="A23" s="626"/>
      <c r="B23" s="546" t="s">
        <v>563</v>
      </c>
      <c r="C23" s="555"/>
      <c r="D23" s="549" t="s">
        <v>334</v>
      </c>
      <c r="E23" s="549" t="s">
        <v>564</v>
      </c>
    </row>
    <row r="24" spans="1:5" ht="48" x14ac:dyDescent="0.25">
      <c r="A24" s="628" t="s">
        <v>464</v>
      </c>
      <c r="B24" s="586" t="s">
        <v>465</v>
      </c>
      <c r="C24" s="550" t="s">
        <v>26</v>
      </c>
      <c r="D24" s="550" t="s">
        <v>335</v>
      </c>
      <c r="E24" s="582" t="s">
        <v>612</v>
      </c>
    </row>
    <row r="25" spans="1:5" ht="15.75" thickBot="1" x14ac:dyDescent="0.3">
      <c r="A25" s="639"/>
      <c r="B25" s="587" t="s">
        <v>565</v>
      </c>
      <c r="C25" s="549"/>
      <c r="D25" s="549" t="s">
        <v>336</v>
      </c>
      <c r="E25" s="549" t="s">
        <v>566</v>
      </c>
    </row>
    <row r="26" spans="1:5" ht="15" customHeight="1" x14ac:dyDescent="0.25">
      <c r="A26" s="624" t="s">
        <v>138</v>
      </c>
      <c r="B26" s="534" t="s">
        <v>466</v>
      </c>
      <c r="C26" s="550" t="s">
        <v>80</v>
      </c>
      <c r="D26" s="634" t="s">
        <v>27</v>
      </c>
      <c r="E26" s="634" t="s">
        <v>567</v>
      </c>
    </row>
    <row r="27" spans="1:5" x14ac:dyDescent="0.25">
      <c r="A27" s="625"/>
      <c r="B27" s="560" t="s">
        <v>469</v>
      </c>
      <c r="C27" s="562" t="s">
        <v>471</v>
      </c>
      <c r="D27" s="640"/>
      <c r="E27" s="640"/>
    </row>
    <row r="28" spans="1:5" ht="15.75" thickBot="1" x14ac:dyDescent="0.3">
      <c r="A28" s="626"/>
      <c r="B28" s="546" t="s">
        <v>473</v>
      </c>
      <c r="C28" s="548" t="s">
        <v>470</v>
      </c>
      <c r="D28" s="635"/>
      <c r="E28" s="635"/>
    </row>
    <row r="29" spans="1:5" x14ac:dyDescent="0.25">
      <c r="A29" s="628" t="s">
        <v>139</v>
      </c>
      <c r="B29" s="534" t="s">
        <v>475</v>
      </c>
      <c r="C29" s="541" t="s">
        <v>477</v>
      </c>
      <c r="D29" s="632" t="s">
        <v>337</v>
      </c>
      <c r="E29" s="591" t="s">
        <v>568</v>
      </c>
    </row>
    <row r="30" spans="1:5" ht="41.25" customHeight="1" x14ac:dyDescent="0.25">
      <c r="A30" s="629"/>
      <c r="B30" s="536" t="s">
        <v>479</v>
      </c>
      <c r="C30" s="563" t="s">
        <v>84</v>
      </c>
      <c r="D30" s="637"/>
      <c r="E30" s="564" t="s">
        <v>613</v>
      </c>
    </row>
    <row r="31" spans="1:5" ht="48" x14ac:dyDescent="0.25">
      <c r="A31" s="629"/>
      <c r="B31" s="536" t="s">
        <v>480</v>
      </c>
      <c r="C31" s="564" t="s">
        <v>85</v>
      </c>
      <c r="D31" s="564" t="s">
        <v>85</v>
      </c>
      <c r="E31" s="564" t="s">
        <v>569</v>
      </c>
    </row>
    <row r="32" spans="1:5" ht="36" x14ac:dyDescent="0.25">
      <c r="A32" s="629"/>
      <c r="B32" s="536" t="s">
        <v>482</v>
      </c>
      <c r="C32" s="544" t="s">
        <v>86</v>
      </c>
      <c r="D32" s="638" t="s">
        <v>338</v>
      </c>
      <c r="E32" s="554" t="s">
        <v>483</v>
      </c>
    </row>
    <row r="33" spans="1:5" x14ac:dyDescent="0.25">
      <c r="A33" s="629"/>
      <c r="B33" s="536" t="s">
        <v>484</v>
      </c>
      <c r="C33" s="544" t="s">
        <v>87</v>
      </c>
      <c r="D33" s="636"/>
      <c r="E33" s="564" t="s">
        <v>485</v>
      </c>
    </row>
    <row r="34" spans="1:5" x14ac:dyDescent="0.25">
      <c r="A34" s="629"/>
      <c r="B34" s="588" t="s">
        <v>487</v>
      </c>
      <c r="C34" s="544"/>
      <c r="D34" s="564" t="s">
        <v>339</v>
      </c>
      <c r="E34" s="564" t="s">
        <v>570</v>
      </c>
    </row>
    <row r="35" spans="1:5" ht="72" x14ac:dyDescent="0.25">
      <c r="A35" s="629"/>
      <c r="B35" s="536" t="s">
        <v>486</v>
      </c>
      <c r="C35" s="544" t="s">
        <v>88</v>
      </c>
      <c r="D35" s="544" t="s">
        <v>88</v>
      </c>
      <c r="E35" s="544" t="s">
        <v>614</v>
      </c>
    </row>
    <row r="36" spans="1:5" x14ac:dyDescent="0.25">
      <c r="A36" s="629"/>
      <c r="B36" s="588" t="s">
        <v>571</v>
      </c>
      <c r="C36" s="544"/>
      <c r="D36" s="544" t="s">
        <v>340</v>
      </c>
      <c r="E36" s="554" t="s">
        <v>572</v>
      </c>
    </row>
    <row r="37" spans="1:5" x14ac:dyDescent="0.25">
      <c r="A37" s="629"/>
      <c r="B37" s="588" t="s">
        <v>573</v>
      </c>
      <c r="C37" s="544"/>
      <c r="D37" s="544" t="s">
        <v>341</v>
      </c>
      <c r="E37" s="589" t="s">
        <v>615</v>
      </c>
    </row>
    <row r="38" spans="1:5" ht="48.75" thickBot="1" x14ac:dyDescent="0.3">
      <c r="A38" s="629"/>
      <c r="B38" s="536" t="s">
        <v>487</v>
      </c>
      <c r="C38" s="566" t="s">
        <v>89</v>
      </c>
      <c r="D38" s="566" t="s">
        <v>342</v>
      </c>
      <c r="E38" s="566" t="s">
        <v>616</v>
      </c>
    </row>
    <row r="39" spans="1:5" x14ac:dyDescent="0.25">
      <c r="A39" s="624" t="s">
        <v>489</v>
      </c>
      <c r="B39" s="567" t="s">
        <v>490</v>
      </c>
      <c r="C39" s="550" t="s">
        <v>491</v>
      </c>
      <c r="D39" s="550" t="s">
        <v>574</v>
      </c>
      <c r="E39" s="550" t="s">
        <v>492</v>
      </c>
    </row>
    <row r="40" spans="1:5" x14ac:dyDescent="0.25">
      <c r="A40" s="625"/>
      <c r="B40" s="536" t="s">
        <v>493</v>
      </c>
      <c r="C40" s="554" t="s">
        <v>91</v>
      </c>
      <c r="D40" s="554" t="s">
        <v>91</v>
      </c>
      <c r="E40" s="554" t="s">
        <v>494</v>
      </c>
    </row>
    <row r="41" spans="1:5" x14ac:dyDescent="0.25">
      <c r="A41" s="625"/>
      <c r="B41" s="570" t="s">
        <v>495</v>
      </c>
      <c r="C41" s="544" t="s">
        <v>92</v>
      </c>
      <c r="D41" s="544" t="s">
        <v>92</v>
      </c>
      <c r="E41" s="544" t="s">
        <v>575</v>
      </c>
    </row>
    <row r="42" spans="1:5" ht="24" x14ac:dyDescent="0.25">
      <c r="A42" s="625"/>
      <c r="B42" s="590" t="s">
        <v>576</v>
      </c>
      <c r="C42" s="582"/>
      <c r="D42" s="554" t="s">
        <v>577</v>
      </c>
      <c r="E42" s="582" t="s">
        <v>578</v>
      </c>
    </row>
    <row r="43" spans="1:5" ht="41.25" customHeight="1" x14ac:dyDescent="0.25">
      <c r="A43" s="625"/>
      <c r="B43" s="590" t="s">
        <v>579</v>
      </c>
      <c r="C43" s="582"/>
      <c r="D43" s="544" t="s">
        <v>345</v>
      </c>
      <c r="E43" s="554" t="s">
        <v>617</v>
      </c>
    </row>
    <row r="44" spans="1:5" x14ac:dyDescent="0.25">
      <c r="A44" s="625"/>
      <c r="B44" s="590" t="s">
        <v>580</v>
      </c>
      <c r="C44" s="582"/>
      <c r="D44" s="554" t="s">
        <v>346</v>
      </c>
      <c r="E44" s="544" t="s">
        <v>581</v>
      </c>
    </row>
    <row r="45" spans="1:5" x14ac:dyDescent="0.25">
      <c r="A45" s="625"/>
      <c r="B45" s="590" t="s">
        <v>582</v>
      </c>
      <c r="C45" s="582"/>
      <c r="D45" s="554" t="s">
        <v>347</v>
      </c>
      <c r="E45" s="554" t="s">
        <v>347</v>
      </c>
    </row>
    <row r="46" spans="1:5" x14ac:dyDescent="0.25">
      <c r="A46" s="625"/>
      <c r="B46" s="590" t="s">
        <v>583</v>
      </c>
      <c r="C46" s="582"/>
      <c r="D46" s="544" t="s">
        <v>348</v>
      </c>
      <c r="E46" s="544" t="s">
        <v>348</v>
      </c>
    </row>
    <row r="47" spans="1:5" x14ac:dyDescent="0.25">
      <c r="A47" s="625"/>
      <c r="B47" s="590" t="s">
        <v>584</v>
      </c>
      <c r="C47" s="582"/>
      <c r="D47" s="582" t="s">
        <v>349</v>
      </c>
      <c r="E47" s="582" t="s">
        <v>585</v>
      </c>
    </row>
    <row r="48" spans="1:5" ht="36.75" thickBot="1" x14ac:dyDescent="0.3">
      <c r="A48" s="626"/>
      <c r="B48" s="546" t="s">
        <v>497</v>
      </c>
      <c r="C48" s="572" t="s">
        <v>93</v>
      </c>
      <c r="D48" s="572" t="s">
        <v>93</v>
      </c>
      <c r="E48" s="572" t="s">
        <v>618</v>
      </c>
    </row>
    <row r="49" spans="1:5" x14ac:dyDescent="0.25">
      <c r="A49" s="624" t="s">
        <v>141</v>
      </c>
      <c r="B49" s="534" t="s">
        <v>498</v>
      </c>
      <c r="C49" s="550" t="s">
        <v>94</v>
      </c>
      <c r="D49" s="634" t="s">
        <v>350</v>
      </c>
      <c r="E49" s="634" t="s">
        <v>586</v>
      </c>
    </row>
    <row r="50" spans="1:5" x14ac:dyDescent="0.25">
      <c r="A50" s="627"/>
      <c r="B50" s="536" t="s">
        <v>500</v>
      </c>
      <c r="C50" s="544" t="s">
        <v>501</v>
      </c>
      <c r="D50" s="636"/>
      <c r="E50" s="636"/>
    </row>
    <row r="51" spans="1:5" x14ac:dyDescent="0.25">
      <c r="A51" s="631"/>
      <c r="B51" s="588" t="s">
        <v>587</v>
      </c>
      <c r="C51" s="554"/>
      <c r="D51" s="554" t="s">
        <v>588</v>
      </c>
      <c r="E51" s="554" t="s">
        <v>589</v>
      </c>
    </row>
    <row r="52" spans="1:5" ht="24.75" thickBot="1" x14ac:dyDescent="0.3">
      <c r="A52" s="626"/>
      <c r="B52" s="546" t="s">
        <v>503</v>
      </c>
      <c r="C52" s="549" t="s">
        <v>96</v>
      </c>
      <c r="D52" s="549" t="s">
        <v>96</v>
      </c>
      <c r="E52" s="549" t="s">
        <v>590</v>
      </c>
    </row>
    <row r="53" spans="1:5" x14ac:dyDescent="0.25">
      <c r="A53" s="628" t="s">
        <v>142</v>
      </c>
      <c r="B53" s="534" t="s">
        <v>505</v>
      </c>
      <c r="C53" s="577" t="s">
        <v>97</v>
      </c>
      <c r="D53" s="634" t="s">
        <v>352</v>
      </c>
      <c r="E53" s="634" t="s">
        <v>591</v>
      </c>
    </row>
    <row r="54" spans="1:5" x14ac:dyDescent="0.25">
      <c r="A54" s="629"/>
      <c r="B54" s="536" t="s">
        <v>507</v>
      </c>
      <c r="C54" s="538" t="s">
        <v>98</v>
      </c>
      <c r="D54" s="636"/>
      <c r="E54" s="636"/>
    </row>
    <row r="55" spans="1:5" x14ac:dyDescent="0.25">
      <c r="A55" s="629"/>
      <c r="B55" s="588" t="s">
        <v>592</v>
      </c>
      <c r="C55" s="538"/>
      <c r="D55" s="538" t="s">
        <v>353</v>
      </c>
      <c r="E55" s="538" t="s">
        <v>593</v>
      </c>
    </row>
    <row r="56" spans="1:5" x14ac:dyDescent="0.25">
      <c r="A56" s="629"/>
      <c r="B56" s="536" t="s">
        <v>508</v>
      </c>
      <c r="C56" s="538" t="s">
        <v>99</v>
      </c>
      <c r="D56" s="538" t="s">
        <v>354</v>
      </c>
      <c r="E56" s="538" t="s">
        <v>594</v>
      </c>
    </row>
    <row r="57" spans="1:5" ht="15.75" thickBot="1" x14ac:dyDescent="0.3">
      <c r="A57" s="629"/>
      <c r="B57" s="536" t="s">
        <v>510</v>
      </c>
      <c r="C57" s="539" t="s">
        <v>100</v>
      </c>
      <c r="D57" s="539" t="s">
        <v>355</v>
      </c>
      <c r="E57" s="572" t="s">
        <v>619</v>
      </c>
    </row>
    <row r="58" spans="1:5" ht="15" customHeight="1" x14ac:dyDescent="0.25">
      <c r="A58" s="624" t="s">
        <v>512</v>
      </c>
      <c r="B58" s="534" t="s">
        <v>513</v>
      </c>
      <c r="C58" s="541" t="s">
        <v>101</v>
      </c>
      <c r="D58" s="541" t="s">
        <v>101</v>
      </c>
      <c r="E58" s="550" t="s">
        <v>514</v>
      </c>
    </row>
    <row r="59" spans="1:5" ht="15" customHeight="1" x14ac:dyDescent="0.25">
      <c r="A59" s="625"/>
      <c r="B59" s="588" t="s">
        <v>595</v>
      </c>
      <c r="C59" s="562"/>
      <c r="D59" s="544" t="s">
        <v>596</v>
      </c>
      <c r="E59" s="544" t="s">
        <v>620</v>
      </c>
    </row>
    <row r="60" spans="1:5" ht="15" customHeight="1" x14ac:dyDescent="0.25">
      <c r="A60" s="625"/>
      <c r="B60" s="588" t="s">
        <v>597</v>
      </c>
      <c r="C60" s="562"/>
      <c r="D60" s="554" t="s">
        <v>357</v>
      </c>
      <c r="E60" s="554" t="s">
        <v>598</v>
      </c>
    </row>
    <row r="61" spans="1:5" ht="15" customHeight="1" x14ac:dyDescent="0.25">
      <c r="A61" s="625"/>
      <c r="B61" s="588" t="s">
        <v>599</v>
      </c>
      <c r="C61" s="562"/>
      <c r="D61" s="544" t="s">
        <v>358</v>
      </c>
      <c r="E61" s="544" t="s">
        <v>621</v>
      </c>
    </row>
    <row r="62" spans="1:5" ht="15" customHeight="1" x14ac:dyDescent="0.25">
      <c r="A62" s="625"/>
      <c r="B62" s="588" t="s">
        <v>600</v>
      </c>
      <c r="C62" s="562"/>
      <c r="D62" s="554" t="s">
        <v>359</v>
      </c>
      <c r="E62" s="554" t="s">
        <v>601</v>
      </c>
    </row>
    <row r="63" spans="1:5" ht="15" customHeight="1" x14ac:dyDescent="0.25">
      <c r="A63" s="625"/>
      <c r="B63" s="588" t="s">
        <v>602</v>
      </c>
      <c r="C63" s="562"/>
      <c r="D63" s="554" t="s">
        <v>360</v>
      </c>
      <c r="E63" s="554" t="s">
        <v>603</v>
      </c>
    </row>
    <row r="64" spans="1:5" ht="15.75" customHeight="1" thickBot="1" x14ac:dyDescent="0.3">
      <c r="A64" s="626"/>
      <c r="B64" s="546" t="s">
        <v>515</v>
      </c>
      <c r="C64" s="548" t="s">
        <v>102</v>
      </c>
      <c r="D64" s="539" t="s">
        <v>102</v>
      </c>
      <c r="E64" s="572" t="s">
        <v>604</v>
      </c>
    </row>
    <row r="65" spans="1:5" ht="103.5" customHeight="1" x14ac:dyDescent="0.25">
      <c r="A65" s="628" t="s">
        <v>144</v>
      </c>
      <c r="B65" s="534" t="s">
        <v>516</v>
      </c>
      <c r="C65" s="541" t="s">
        <v>103</v>
      </c>
      <c r="D65" s="541" t="s">
        <v>103</v>
      </c>
      <c r="E65" s="550" t="s">
        <v>518</v>
      </c>
    </row>
    <row r="66" spans="1:5" ht="15" customHeight="1" x14ac:dyDescent="0.25">
      <c r="A66" s="629"/>
      <c r="B66" s="536" t="s">
        <v>519</v>
      </c>
      <c r="C66" s="543" t="s">
        <v>520</v>
      </c>
      <c r="D66" s="543" t="s">
        <v>520</v>
      </c>
      <c r="E66" s="544" t="s">
        <v>521</v>
      </c>
    </row>
    <row r="67" spans="1:5" ht="24" x14ac:dyDescent="0.25">
      <c r="A67" s="629"/>
      <c r="B67" s="536" t="s">
        <v>522</v>
      </c>
      <c r="C67" s="543" t="s">
        <v>105</v>
      </c>
      <c r="D67" s="543" t="s">
        <v>105</v>
      </c>
      <c r="E67" s="544" t="s">
        <v>523</v>
      </c>
    </row>
    <row r="68" spans="1:5" ht="41.25" customHeight="1" x14ac:dyDescent="0.25">
      <c r="A68" s="629"/>
      <c r="B68" s="536" t="s">
        <v>524</v>
      </c>
      <c r="C68" s="544" t="s">
        <v>106</v>
      </c>
      <c r="D68" s="544" t="s">
        <v>106</v>
      </c>
      <c r="E68" s="544" t="s">
        <v>525</v>
      </c>
    </row>
    <row r="69" spans="1:5" x14ac:dyDescent="0.25">
      <c r="A69" s="629"/>
      <c r="B69" s="588" t="s">
        <v>528</v>
      </c>
      <c r="D69" s="543" t="s">
        <v>605</v>
      </c>
      <c r="E69" s="544" t="s">
        <v>606</v>
      </c>
    </row>
    <row r="70" spans="1:5" ht="15" customHeight="1" x14ac:dyDescent="0.25">
      <c r="A70" s="629"/>
      <c r="B70" s="588" t="s">
        <v>529</v>
      </c>
      <c r="C70" s="580"/>
      <c r="D70" s="543" t="s">
        <v>362</v>
      </c>
      <c r="E70" s="544" t="s">
        <v>362</v>
      </c>
    </row>
    <row r="71" spans="1:5" ht="15.75" customHeight="1" x14ac:dyDescent="0.25">
      <c r="A71" s="629"/>
      <c r="B71" s="588" t="s">
        <v>530</v>
      </c>
      <c r="C71" s="580"/>
      <c r="D71" s="544" t="s">
        <v>363</v>
      </c>
      <c r="E71" s="544" t="s">
        <v>607</v>
      </c>
    </row>
    <row r="72" spans="1:5" ht="36.75" thickBot="1" x14ac:dyDescent="0.3">
      <c r="A72" s="629"/>
      <c r="B72" s="536" t="s">
        <v>526</v>
      </c>
      <c r="C72" s="543" t="s">
        <v>107</v>
      </c>
      <c r="D72" s="543" t="s">
        <v>107</v>
      </c>
      <c r="E72" s="544" t="s">
        <v>608</v>
      </c>
    </row>
    <row r="73" spans="1:5" x14ac:dyDescent="0.25">
      <c r="A73" s="624" t="s">
        <v>532</v>
      </c>
      <c r="B73" s="534" t="s">
        <v>533</v>
      </c>
      <c r="C73" s="541" t="s">
        <v>534</v>
      </c>
      <c r="D73" s="632" t="s">
        <v>609</v>
      </c>
      <c r="E73" s="634" t="s">
        <v>610</v>
      </c>
    </row>
    <row r="74" spans="1:5" ht="15.75" thickBot="1" x14ac:dyDescent="0.3">
      <c r="A74" s="626"/>
      <c r="B74" s="546" t="s">
        <v>536</v>
      </c>
      <c r="C74" s="548" t="s">
        <v>537</v>
      </c>
      <c r="D74" s="633"/>
      <c r="E74" s="635"/>
    </row>
  </sheetData>
  <mergeCells count="27">
    <mergeCell ref="E26:E28"/>
    <mergeCell ref="A3:A7"/>
    <mergeCell ref="D3:D5"/>
    <mergeCell ref="E3:E5"/>
    <mergeCell ref="A8:A13"/>
    <mergeCell ref="D8:D12"/>
    <mergeCell ref="E8:E12"/>
    <mergeCell ref="A14:A16"/>
    <mergeCell ref="A17:A23"/>
    <mergeCell ref="A24:A25"/>
    <mergeCell ref="A26:A28"/>
    <mergeCell ref="D26:D28"/>
    <mergeCell ref="A29:A38"/>
    <mergeCell ref="D29:D30"/>
    <mergeCell ref="D32:D33"/>
    <mergeCell ref="A39:A48"/>
    <mergeCell ref="A49:A52"/>
    <mergeCell ref="D49:D50"/>
    <mergeCell ref="A73:A74"/>
    <mergeCell ref="D73:D74"/>
    <mergeCell ref="E73:E74"/>
    <mergeCell ref="E49:E50"/>
    <mergeCell ref="A53:A57"/>
    <mergeCell ref="D53:D54"/>
    <mergeCell ref="E53:E54"/>
    <mergeCell ref="A58:A64"/>
    <mergeCell ref="A65:A7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zoomScale="90" zoomScaleNormal="90" workbookViewId="0">
      <selection activeCell="F8" sqref="F8"/>
    </sheetView>
  </sheetViews>
  <sheetFormatPr baseColWidth="10" defaultColWidth="11.42578125" defaultRowHeight="15" x14ac:dyDescent="0.25"/>
  <cols>
    <col min="1" max="1" width="26.28515625" style="258" customWidth="1"/>
    <col min="2" max="4" width="15.7109375" style="258" customWidth="1"/>
    <col min="5" max="5" width="12.7109375" style="258" customWidth="1"/>
    <col min="6" max="6" width="14.5703125" style="258" customWidth="1"/>
    <col min="7" max="7" width="14.140625" style="258" customWidth="1"/>
    <col min="8" max="8" width="15.140625" style="258" customWidth="1"/>
    <col min="9" max="16384" width="11.42578125" style="258"/>
  </cols>
  <sheetData>
    <row r="2" spans="1:8" x14ac:dyDescent="0.25">
      <c r="A2" s="280" t="s">
        <v>249</v>
      </c>
      <c r="B2" s="280">
        <v>253.71</v>
      </c>
      <c r="H2" s="281"/>
    </row>
    <row r="3" spans="1:8" x14ac:dyDescent="0.25">
      <c r="A3" s="280" t="s">
        <v>250</v>
      </c>
      <c r="B3" s="282">
        <v>16399677.298193235</v>
      </c>
    </row>
    <row r="4" spans="1:8" x14ac:dyDescent="0.25">
      <c r="A4" s="283"/>
      <c r="B4" s="284"/>
    </row>
    <row r="5" spans="1:8" x14ac:dyDescent="0.25">
      <c r="D5" s="293"/>
      <c r="F5" s="294"/>
    </row>
    <row r="7" spans="1:8" ht="51.75" customHeight="1" x14ac:dyDescent="0.25">
      <c r="A7" s="285" t="s">
        <v>63</v>
      </c>
      <c r="B7" s="286" t="s">
        <v>1</v>
      </c>
      <c r="C7" s="286" t="s">
        <v>2</v>
      </c>
      <c r="D7" s="286" t="s">
        <v>3</v>
      </c>
      <c r="E7" s="286" t="s">
        <v>4</v>
      </c>
      <c r="F7" s="286" t="s">
        <v>407</v>
      </c>
      <c r="G7" s="286" t="s">
        <v>5</v>
      </c>
    </row>
    <row r="8" spans="1:8" x14ac:dyDescent="0.25">
      <c r="A8" s="295" t="s">
        <v>64</v>
      </c>
      <c r="B8" s="287">
        <v>14.968812541599858</v>
      </c>
      <c r="C8" s="296">
        <v>1.2317280951817788</v>
      </c>
      <c r="D8" s="287">
        <f t="shared" ref="D8:D52" si="0">(B8/100)*B$2</f>
        <v>37.977374299292997</v>
      </c>
      <c r="E8" s="287">
        <f>(C8/B8)*D8</f>
        <v>3.1250173502856908</v>
      </c>
      <c r="F8" s="288">
        <f t="shared" ref="F8:F52" si="1">(B8/100)*B$3</f>
        <v>2454836.9521938534</v>
      </c>
      <c r="G8" s="288">
        <f>(C8/B8)*F8</f>
        <v>201999.43280099411</v>
      </c>
    </row>
    <row r="9" spans="1:8" ht="30" x14ac:dyDescent="0.25">
      <c r="A9" s="295" t="s">
        <v>65</v>
      </c>
      <c r="B9" s="287">
        <v>9.0872169675003356</v>
      </c>
      <c r="C9" s="296">
        <v>0.98519509906551028</v>
      </c>
      <c r="D9" s="287">
        <f t="shared" si="0"/>
        <v>23.055178168245103</v>
      </c>
      <c r="E9" s="287">
        <f t="shared" ref="E9:E52" si="2">(C9/B9)*D9</f>
        <v>2.4995384858391061</v>
      </c>
      <c r="F9" s="288">
        <f t="shared" si="1"/>
        <v>1490274.2580567163</v>
      </c>
      <c r="G9" s="288">
        <f t="shared" ref="G9:G52" si="3">(C9/B9)*F9</f>
        <v>161568.81700435883</v>
      </c>
    </row>
    <row r="10" spans="1:8" ht="30" customHeight="1" x14ac:dyDescent="0.25">
      <c r="A10" s="295" t="s">
        <v>66</v>
      </c>
      <c r="B10" s="287">
        <v>2.3717188467009778</v>
      </c>
      <c r="C10" s="296">
        <v>0.54056121049987194</v>
      </c>
      <c r="D10" s="287">
        <f t="shared" si="0"/>
        <v>6.0172878859650512</v>
      </c>
      <c r="E10" s="287">
        <f t="shared" si="2"/>
        <v>1.3714578471592251</v>
      </c>
      <c r="F10" s="288">
        <f t="shared" si="1"/>
        <v>388954.23727939068</v>
      </c>
      <c r="G10" s="288">
        <f t="shared" si="3"/>
        <v>88650.294121186045</v>
      </c>
    </row>
    <row r="11" spans="1:8" x14ac:dyDescent="0.25">
      <c r="A11" s="295" t="s">
        <v>67</v>
      </c>
      <c r="B11" s="287">
        <v>1.5937666197618792</v>
      </c>
      <c r="C11" s="296">
        <v>0.60149508409731478</v>
      </c>
      <c r="D11" s="287">
        <f t="shared" si="0"/>
        <v>4.043545290997864</v>
      </c>
      <c r="E11" s="287">
        <f t="shared" si="2"/>
        <v>1.5260531778632975</v>
      </c>
      <c r="F11" s="288">
        <f t="shared" si="1"/>
        <v>261372.5825272706</v>
      </c>
      <c r="G11" s="288">
        <f t="shared" si="3"/>
        <v>98643.252756455637</v>
      </c>
    </row>
    <row r="12" spans="1:8" x14ac:dyDescent="0.25">
      <c r="A12" s="295" t="s">
        <v>68</v>
      </c>
      <c r="B12" s="287">
        <v>4.7376177219233329</v>
      </c>
      <c r="C12" s="296">
        <v>0.94620618218335006</v>
      </c>
      <c r="D12" s="287">
        <f t="shared" si="0"/>
        <v>12.019809922291689</v>
      </c>
      <c r="E12" s="287">
        <f t="shared" si="2"/>
        <v>2.4006197048173776</v>
      </c>
      <c r="F12" s="288">
        <f t="shared" si="1"/>
        <v>776954.01801744034</v>
      </c>
      <c r="G12" s="288">
        <f t="shared" si="3"/>
        <v>155174.76045362378</v>
      </c>
    </row>
    <row r="13" spans="1:8" x14ac:dyDescent="0.25">
      <c r="A13" s="297" t="s">
        <v>69</v>
      </c>
      <c r="B13" s="289">
        <v>1.2211940799489098</v>
      </c>
      <c r="C13" s="298">
        <v>0.1387084730255638</v>
      </c>
      <c r="D13" s="289">
        <f t="shared" si="0"/>
        <v>3.0982915002383788</v>
      </c>
      <c r="E13" s="289">
        <f t="shared" si="2"/>
        <v>0.35191726691315789</v>
      </c>
      <c r="F13" s="290">
        <f t="shared" si="1"/>
        <v>200271.88829626108</v>
      </c>
      <c r="G13" s="290">
        <f t="shared" si="3"/>
        <v>22747.741961443873</v>
      </c>
    </row>
    <row r="14" spans="1:8" x14ac:dyDescent="0.25">
      <c r="A14" s="297" t="s">
        <v>70</v>
      </c>
      <c r="B14" s="289">
        <v>1.5761478039004708</v>
      </c>
      <c r="C14" s="298">
        <v>0.26209547621931434</v>
      </c>
      <c r="D14" s="289">
        <f t="shared" si="0"/>
        <v>3.9988445932758845</v>
      </c>
      <c r="E14" s="289">
        <f t="shared" si="2"/>
        <v>0.6649624327160224</v>
      </c>
      <c r="F14" s="290">
        <f t="shared" si="1"/>
        <v>258483.15358223673</v>
      </c>
      <c r="G14" s="290">
        <f t="shared" si="3"/>
        <v>42982.812313130336</v>
      </c>
    </row>
    <row r="15" spans="1:8" x14ac:dyDescent="0.25">
      <c r="A15" s="297" t="s">
        <v>71</v>
      </c>
      <c r="B15" s="289">
        <v>2.5942872220607054</v>
      </c>
      <c r="C15" s="298">
        <v>0.27306469736940281</v>
      </c>
      <c r="D15" s="289">
        <f t="shared" si="0"/>
        <v>6.5819661110902157</v>
      </c>
      <c r="E15" s="289">
        <f t="shared" si="2"/>
        <v>0.69279244369591186</v>
      </c>
      <c r="F15" s="290">
        <f t="shared" si="1"/>
        <v>425454.73260621738</v>
      </c>
      <c r="G15" s="290">
        <f t="shared" si="3"/>
        <v>44781.729183870011</v>
      </c>
    </row>
    <row r="16" spans="1:8" x14ac:dyDescent="0.25">
      <c r="A16" s="297" t="s">
        <v>165</v>
      </c>
      <c r="B16" s="289">
        <v>2.0621787844745323</v>
      </c>
      <c r="C16" s="298">
        <v>0.24694431145716408</v>
      </c>
      <c r="D16" s="289">
        <f t="shared" si="0"/>
        <v>5.2319537940903356</v>
      </c>
      <c r="E16" s="289">
        <f t="shared" si="2"/>
        <v>0.62652241259797092</v>
      </c>
      <c r="F16" s="290">
        <f t="shared" si="1"/>
        <v>338190.66596562706</v>
      </c>
      <c r="G16" s="290">
        <f t="shared" si="3"/>
        <v>40498.070185220131</v>
      </c>
    </row>
    <row r="17" spans="1:7" x14ac:dyDescent="0.25">
      <c r="A17" s="297" t="s">
        <v>73</v>
      </c>
      <c r="B17" s="289">
        <v>1.159001261537715</v>
      </c>
      <c r="C17" s="298">
        <v>0.17094362476374822</v>
      </c>
      <c r="D17" s="289">
        <f t="shared" si="0"/>
        <v>2.9405021006473371</v>
      </c>
      <c r="E17" s="289">
        <f t="shared" si="2"/>
        <v>0.43370107038810568</v>
      </c>
      <c r="F17" s="290">
        <f t="shared" si="1"/>
        <v>190072.46677417387</v>
      </c>
      <c r="G17" s="290">
        <f t="shared" si="3"/>
        <v>28034.20282308905</v>
      </c>
    </row>
    <row r="18" spans="1:7" x14ac:dyDescent="0.25">
      <c r="A18" s="295" t="s">
        <v>74</v>
      </c>
      <c r="B18" s="287">
        <v>3.5779422187965615</v>
      </c>
      <c r="C18" s="296">
        <v>0.23168269174239992</v>
      </c>
      <c r="D18" s="287">
        <f t="shared" si="0"/>
        <v>9.0775972033087555</v>
      </c>
      <c r="E18" s="287">
        <f t="shared" si="2"/>
        <v>0.5878021572196428</v>
      </c>
      <c r="F18" s="288">
        <f t="shared" si="1"/>
        <v>586770.97779845097</v>
      </c>
      <c r="G18" s="288">
        <f t="shared" si="3"/>
        <v>37995.213801521371</v>
      </c>
    </row>
    <row r="19" spans="1:7" x14ac:dyDescent="0.25">
      <c r="A19" s="295" t="s">
        <v>75</v>
      </c>
      <c r="B19" s="287">
        <v>2.575068168328607</v>
      </c>
      <c r="C19" s="296">
        <v>0.32181847193490021</v>
      </c>
      <c r="D19" s="287">
        <f t="shared" si="0"/>
        <v>6.5332054498665091</v>
      </c>
      <c r="E19" s="287">
        <f t="shared" si="2"/>
        <v>0.81648564514603539</v>
      </c>
      <c r="F19" s="288">
        <f t="shared" si="1"/>
        <v>422302.86981438694</v>
      </c>
      <c r="G19" s="288">
        <f t="shared" si="3"/>
        <v>52777.190883300202</v>
      </c>
    </row>
    <row r="20" spans="1:7" x14ac:dyDescent="0.25">
      <c r="A20" s="295" t="s">
        <v>76</v>
      </c>
      <c r="B20" s="287">
        <v>0.25506110296009071</v>
      </c>
      <c r="C20" s="296">
        <v>4.2989760055347125E-2</v>
      </c>
      <c r="D20" s="287">
        <f t="shared" si="0"/>
        <v>0.64711552432004615</v>
      </c>
      <c r="E20" s="287">
        <f t="shared" si="2"/>
        <v>0.1090693202364212</v>
      </c>
      <c r="F20" s="288">
        <f t="shared" si="1"/>
        <v>41829.197798667272</v>
      </c>
      <c r="G20" s="288">
        <f t="shared" si="3"/>
        <v>7050.1819203445066</v>
      </c>
    </row>
    <row r="21" spans="1:7" ht="30" x14ac:dyDescent="0.25">
      <c r="A21" s="297" t="s">
        <v>77</v>
      </c>
      <c r="B21" s="289">
        <v>0.52631796710449219</v>
      </c>
      <c r="C21" s="298">
        <v>6.3672177642211711E-2</v>
      </c>
      <c r="D21" s="289">
        <f t="shared" si="0"/>
        <v>1.3353213143408071</v>
      </c>
      <c r="E21" s="289">
        <f t="shared" si="2"/>
        <v>0.16154268189605533</v>
      </c>
      <c r="F21" s="290">
        <f t="shared" si="1"/>
        <v>86314.44816754754</v>
      </c>
      <c r="G21" s="290">
        <f t="shared" si="3"/>
        <v>10442.031662055062</v>
      </c>
    </row>
    <row r="22" spans="1:7" ht="30" x14ac:dyDescent="0.25">
      <c r="A22" s="297" t="s">
        <v>78</v>
      </c>
      <c r="B22" s="289">
        <v>1.085779799887733</v>
      </c>
      <c r="C22" s="298">
        <v>0.10007565387180219</v>
      </c>
      <c r="D22" s="289">
        <f t="shared" si="0"/>
        <v>2.7547319302951676</v>
      </c>
      <c r="E22" s="289">
        <f t="shared" si="2"/>
        <v>0.25390194143814931</v>
      </c>
      <c r="F22" s="290">
        <f t="shared" si="1"/>
        <v>178064.38335055648</v>
      </c>
      <c r="G22" s="290">
        <f t="shared" si="3"/>
        <v>16412.08428903238</v>
      </c>
    </row>
    <row r="23" spans="1:7" x14ac:dyDescent="0.25">
      <c r="A23" s="297" t="s">
        <v>79</v>
      </c>
      <c r="B23" s="289">
        <v>0.72517072942606764</v>
      </c>
      <c r="C23" s="298">
        <v>0.10023501478832764</v>
      </c>
      <c r="D23" s="289">
        <f t="shared" si="0"/>
        <v>1.8398306576268761</v>
      </c>
      <c r="E23" s="289">
        <f t="shared" si="2"/>
        <v>0.25430625601946605</v>
      </c>
      <c r="F23" s="290">
        <f t="shared" si="1"/>
        <v>118925.6594868291</v>
      </c>
      <c r="G23" s="290">
        <f t="shared" si="3"/>
        <v>16438.218965082</v>
      </c>
    </row>
    <row r="24" spans="1:7" x14ac:dyDescent="0.25">
      <c r="A24" s="295" t="s">
        <v>26</v>
      </c>
      <c r="B24" s="287">
        <v>3.0316602797141745</v>
      </c>
      <c r="C24" s="296">
        <v>0.24249289845197514</v>
      </c>
      <c r="D24" s="287">
        <f t="shared" si="0"/>
        <v>7.691625295662833</v>
      </c>
      <c r="E24" s="287">
        <f t="shared" si="2"/>
        <v>0.61522873266250622</v>
      </c>
      <c r="F24" s="288">
        <f t="shared" si="1"/>
        <v>497182.50265062705</v>
      </c>
      <c r="G24" s="288">
        <f t="shared" si="3"/>
        <v>39768.052817159347</v>
      </c>
    </row>
    <row r="25" spans="1:7" x14ac:dyDescent="0.25">
      <c r="A25" s="297" t="s">
        <v>80</v>
      </c>
      <c r="B25" s="289">
        <v>4.211986715910526</v>
      </c>
      <c r="C25" s="298">
        <v>0.43767656590062631</v>
      </c>
      <c r="D25" s="289">
        <f t="shared" si="0"/>
        <v>10.686231496936596</v>
      </c>
      <c r="E25" s="289">
        <f t="shared" si="2"/>
        <v>1.1104292153464792</v>
      </c>
      <c r="F25" s="290">
        <f t="shared" si="1"/>
        <v>690752.22925209336</v>
      </c>
      <c r="G25" s="290">
        <f t="shared" si="3"/>
        <v>71777.54441751678</v>
      </c>
    </row>
    <row r="26" spans="1:7" x14ac:dyDescent="0.25">
      <c r="A26" s="297" t="s">
        <v>251</v>
      </c>
      <c r="B26" s="289">
        <v>3.0261267021666747</v>
      </c>
      <c r="C26" s="298">
        <v>0.47173997961523045</v>
      </c>
      <c r="D26" s="289">
        <f t="shared" si="0"/>
        <v>7.6775860560670708</v>
      </c>
      <c r="E26" s="289">
        <f t="shared" si="2"/>
        <v>1.1968515022818014</v>
      </c>
      <c r="F26" s="290">
        <f t="shared" si="1"/>
        <v>496275.01378979173</v>
      </c>
      <c r="G26" s="290">
        <f t="shared" si="3"/>
        <v>77363.834343460345</v>
      </c>
    </row>
    <row r="27" spans="1:7" x14ac:dyDescent="0.25">
      <c r="A27" s="297" t="s">
        <v>82</v>
      </c>
      <c r="B27" s="289">
        <v>6.6747343527716794</v>
      </c>
      <c r="C27" s="298">
        <v>0.43572512888604592</v>
      </c>
      <c r="D27" s="289">
        <f t="shared" si="0"/>
        <v>16.934468526417028</v>
      </c>
      <c r="E27" s="289">
        <f t="shared" si="2"/>
        <v>1.1054782244967871</v>
      </c>
      <c r="F27" s="290">
        <f t="shared" si="1"/>
        <v>1094634.8943662022</v>
      </c>
      <c r="G27" s="290">
        <f t="shared" si="3"/>
        <v>71457.515044448082</v>
      </c>
    </row>
    <row r="28" spans="1:7" x14ac:dyDescent="0.25">
      <c r="A28" s="295" t="s">
        <v>83</v>
      </c>
      <c r="B28" s="287">
        <v>2.3429586342211279</v>
      </c>
      <c r="C28" s="296">
        <v>0.13535284996291996</v>
      </c>
      <c r="D28" s="287">
        <f t="shared" si="0"/>
        <v>5.9443203508824238</v>
      </c>
      <c r="E28" s="287">
        <f t="shared" si="2"/>
        <v>0.34340371564092426</v>
      </c>
      <c r="F28" s="288">
        <f t="shared" si="1"/>
        <v>384237.65524242056</v>
      </c>
      <c r="G28" s="288">
        <f t="shared" si="3"/>
        <v>22197.430607826533</v>
      </c>
    </row>
    <row r="29" spans="1:7" x14ac:dyDescent="0.25">
      <c r="A29" s="295" t="s">
        <v>84</v>
      </c>
      <c r="B29" s="287">
        <v>0.78312789511459713</v>
      </c>
      <c r="C29" s="296">
        <v>0.11980492049203731</v>
      </c>
      <c r="D29" s="287">
        <f t="shared" si="0"/>
        <v>1.9868737826952445</v>
      </c>
      <c r="E29" s="287">
        <f t="shared" si="2"/>
        <v>0.30395706378034787</v>
      </c>
      <c r="F29" s="288">
        <f t="shared" si="1"/>
        <v>128430.44763092711</v>
      </c>
      <c r="G29" s="288">
        <f t="shared" si="3"/>
        <v>19647.620348051099</v>
      </c>
    </row>
    <row r="30" spans="1:7" ht="30" x14ac:dyDescent="0.25">
      <c r="A30" s="295" t="s">
        <v>85</v>
      </c>
      <c r="B30" s="287">
        <v>3.663387392189883</v>
      </c>
      <c r="C30" s="296">
        <v>0.21904307562811259</v>
      </c>
      <c r="D30" s="287">
        <f t="shared" si="0"/>
        <v>9.294380152724953</v>
      </c>
      <c r="E30" s="287">
        <f t="shared" si="2"/>
        <v>0.55573418717608447</v>
      </c>
      <c r="F30" s="288">
        <f t="shared" si="1"/>
        <v>600783.71050183743</v>
      </c>
      <c r="G30" s="288">
        <f t="shared" si="3"/>
        <v>35922.357547047817</v>
      </c>
    </row>
    <row r="31" spans="1:7" x14ac:dyDescent="0.25">
      <c r="A31" s="295" t="s">
        <v>86</v>
      </c>
      <c r="B31" s="287">
        <v>1.2030562219642862</v>
      </c>
      <c r="C31" s="296">
        <v>0.17129157380374146</v>
      </c>
      <c r="D31" s="287">
        <f t="shared" si="0"/>
        <v>3.0522739407455903</v>
      </c>
      <c r="E31" s="287">
        <f t="shared" si="2"/>
        <v>0.43458385189747251</v>
      </c>
      <c r="F31" s="288">
        <f t="shared" si="1"/>
        <v>197297.33811797824</v>
      </c>
      <c r="G31" s="288">
        <f t="shared" si="3"/>
        <v>28091.2653428101</v>
      </c>
    </row>
    <row r="32" spans="1:7" ht="30" x14ac:dyDescent="0.25">
      <c r="A32" s="295" t="s">
        <v>87</v>
      </c>
      <c r="B32" s="287">
        <v>0.55790952938181215</v>
      </c>
      <c r="C32" s="296">
        <v>9.307481606498802E-2</v>
      </c>
      <c r="D32" s="287">
        <f t="shared" si="0"/>
        <v>1.4154722669945958</v>
      </c>
      <c r="E32" s="287">
        <f t="shared" si="2"/>
        <v>0.23614011583848116</v>
      </c>
      <c r="F32" s="288">
        <f t="shared" si="1"/>
        <v>91495.362434485767</v>
      </c>
      <c r="G32" s="288">
        <f t="shared" si="3"/>
        <v>15263.969480544951</v>
      </c>
    </row>
    <row r="33" spans="1:7" ht="30" x14ac:dyDescent="0.25">
      <c r="A33" s="295" t="s">
        <v>88</v>
      </c>
      <c r="B33" s="287">
        <v>4.0067494456224102</v>
      </c>
      <c r="C33" s="296">
        <v>0.25871837316896085</v>
      </c>
      <c r="D33" s="287">
        <f t="shared" si="0"/>
        <v>10.165524018488616</v>
      </c>
      <c r="E33" s="287">
        <f t="shared" si="2"/>
        <v>0.65639438456697063</v>
      </c>
      <c r="F33" s="288">
        <f t="shared" si="1"/>
        <v>657093.9792292217</v>
      </c>
      <c r="G33" s="288">
        <f t="shared" si="3"/>
        <v>42428.978310844934</v>
      </c>
    </row>
    <row r="34" spans="1:7" x14ac:dyDescent="0.25">
      <c r="A34" s="295" t="s">
        <v>89</v>
      </c>
      <c r="B34" s="287">
        <v>2.1374708082236764</v>
      </c>
      <c r="C34" s="296">
        <v>0.18569270595666409</v>
      </c>
      <c r="D34" s="287">
        <f t="shared" si="0"/>
        <v>5.4229771875442898</v>
      </c>
      <c r="E34" s="287">
        <f t="shared" si="2"/>
        <v>0.47112096428265254</v>
      </c>
      <c r="F34" s="288">
        <f t="shared" si="1"/>
        <v>350538.31489176571</v>
      </c>
      <c r="G34" s="288">
        <f t="shared" si="3"/>
        <v>30453.004543175761</v>
      </c>
    </row>
    <row r="35" spans="1:7" x14ac:dyDescent="0.25">
      <c r="A35" s="297" t="s">
        <v>90</v>
      </c>
      <c r="B35" s="289">
        <v>0.31819288171924887</v>
      </c>
      <c r="C35" s="298">
        <v>5.2760947607964896E-2</v>
      </c>
      <c r="D35" s="289">
        <f t="shared" si="0"/>
        <v>0.80728716020990632</v>
      </c>
      <c r="E35" s="289">
        <f t="shared" si="2"/>
        <v>0.13385980017616775</v>
      </c>
      <c r="F35" s="290">
        <f t="shared" si="1"/>
        <v>52182.605787778506</v>
      </c>
      <c r="G35" s="290">
        <f t="shared" si="3"/>
        <v>8652.6251471750456</v>
      </c>
    </row>
    <row r="36" spans="1:7" x14ac:dyDescent="0.25">
      <c r="A36" s="297" t="s">
        <v>91</v>
      </c>
      <c r="B36" s="289">
        <v>0.738607255928453</v>
      </c>
      <c r="C36" s="298">
        <v>0.10385966037503384</v>
      </c>
      <c r="D36" s="289">
        <f t="shared" si="0"/>
        <v>1.873920469016078</v>
      </c>
      <c r="E36" s="289">
        <f t="shared" si="2"/>
        <v>0.26350234433749836</v>
      </c>
      <c r="F36" s="290">
        <f t="shared" si="1"/>
        <v>121129.20647330651</v>
      </c>
      <c r="G36" s="290">
        <f t="shared" si="3"/>
        <v>17032.64914450502</v>
      </c>
    </row>
    <row r="37" spans="1:7" x14ac:dyDescent="0.25">
      <c r="A37" s="297" t="s">
        <v>92</v>
      </c>
      <c r="B37" s="289">
        <v>0.21000489256590713</v>
      </c>
      <c r="C37" s="298">
        <v>4.5461904118058262E-2</v>
      </c>
      <c r="D37" s="289">
        <f t="shared" si="0"/>
        <v>0.53280341292896294</v>
      </c>
      <c r="E37" s="289">
        <f t="shared" si="2"/>
        <v>0.11534139693792561</v>
      </c>
      <c r="F37" s="290">
        <f t="shared" si="1"/>
        <v>34440.124691226163</v>
      </c>
      <c r="G37" s="290">
        <f t="shared" si="3"/>
        <v>7455.6055689755767</v>
      </c>
    </row>
    <row r="38" spans="1:7" x14ac:dyDescent="0.25">
      <c r="A38" s="297" t="s">
        <v>93</v>
      </c>
      <c r="B38" s="289">
        <v>3.3035669552523954</v>
      </c>
      <c r="C38" s="298">
        <v>0.31656239211337062</v>
      </c>
      <c r="D38" s="289">
        <f t="shared" si="0"/>
        <v>8.3814797221708535</v>
      </c>
      <c r="E38" s="289">
        <f t="shared" si="2"/>
        <v>0.80315044503083266</v>
      </c>
      <c r="F38" s="290">
        <f t="shared" si="1"/>
        <v>541774.31999114051</v>
      </c>
      <c r="G38" s="290">
        <f t="shared" si="3"/>
        <v>51915.210754033891</v>
      </c>
    </row>
    <row r="39" spans="1:7" ht="30" x14ac:dyDescent="0.25">
      <c r="A39" s="295" t="s">
        <v>94</v>
      </c>
      <c r="B39" s="287">
        <v>2.6660998344521332</v>
      </c>
      <c r="C39" s="296">
        <v>0.28614328506871228</v>
      </c>
      <c r="D39" s="287">
        <f t="shared" si="0"/>
        <v>6.7641618899885074</v>
      </c>
      <c r="E39" s="287">
        <f t="shared" si="2"/>
        <v>0.72597412854782994</v>
      </c>
      <c r="F39" s="288">
        <f t="shared" si="1"/>
        <v>437231.76929781394</v>
      </c>
      <c r="G39" s="288">
        <f t="shared" si="3"/>
        <v>46926.575361717965</v>
      </c>
    </row>
    <row r="40" spans="1:7" ht="30" x14ac:dyDescent="0.25">
      <c r="A40" s="295" t="s">
        <v>95</v>
      </c>
      <c r="B40" s="287">
        <v>2.4156234503139156</v>
      </c>
      <c r="C40" s="296">
        <v>0.29869573482988854</v>
      </c>
      <c r="D40" s="287">
        <f t="shared" si="0"/>
        <v>6.128678255791435</v>
      </c>
      <c r="E40" s="287">
        <f t="shared" si="2"/>
        <v>0.7578209488369102</v>
      </c>
      <c r="F40" s="288">
        <f t="shared" si="1"/>
        <v>396154.4505909633</v>
      </c>
      <c r="G40" s="288">
        <f t="shared" si="3"/>
        <v>48985.136615568692</v>
      </c>
    </row>
    <row r="41" spans="1:7" x14ac:dyDescent="0.25">
      <c r="A41" s="295" t="s">
        <v>96</v>
      </c>
      <c r="B41" s="287">
        <v>0.26689598053120261</v>
      </c>
      <c r="C41" s="296">
        <v>0.11859050861411755</v>
      </c>
      <c r="D41" s="287">
        <f t="shared" si="0"/>
        <v>0.67714179220571413</v>
      </c>
      <c r="E41" s="287">
        <f t="shared" si="2"/>
        <v>0.30087597940487759</v>
      </c>
      <c r="F41" s="288">
        <f t="shared" si="1"/>
        <v>43770.079528965871</v>
      </c>
      <c r="G41" s="288">
        <f t="shared" si="3"/>
        <v>19448.460719001327</v>
      </c>
    </row>
    <row r="42" spans="1:7" x14ac:dyDescent="0.25">
      <c r="A42" s="297" t="s">
        <v>97</v>
      </c>
      <c r="B42" s="289">
        <v>1.79135401489749</v>
      </c>
      <c r="C42" s="298">
        <v>0.1345910970539691</v>
      </c>
      <c r="D42" s="289">
        <f t="shared" si="0"/>
        <v>4.5448442711964221</v>
      </c>
      <c r="E42" s="289">
        <f t="shared" si="2"/>
        <v>0.34147107233562501</v>
      </c>
      <c r="F42" s="290">
        <f t="shared" si="1"/>
        <v>293776.27771141671</v>
      </c>
      <c r="G42" s="290">
        <f t="shared" si="3"/>
        <v>22072.505588948992</v>
      </c>
    </row>
    <row r="43" spans="1:7" x14ac:dyDescent="0.25">
      <c r="A43" s="297" t="s">
        <v>98</v>
      </c>
      <c r="B43" s="289">
        <v>0.65593910132046329</v>
      </c>
      <c r="C43" s="298">
        <v>8.1723679776924033E-2</v>
      </c>
      <c r="D43" s="289">
        <f t="shared" si="0"/>
        <v>1.6641830939601474</v>
      </c>
      <c r="E43" s="289">
        <f t="shared" si="2"/>
        <v>0.20734114796203396</v>
      </c>
      <c r="F43" s="290">
        <f t="shared" si="1"/>
        <v>107571.89588922475</v>
      </c>
      <c r="G43" s="290">
        <f t="shared" si="3"/>
        <v>13402.419759624347</v>
      </c>
    </row>
    <row r="44" spans="1:7" x14ac:dyDescent="0.25">
      <c r="A44" s="297" t="s">
        <v>99</v>
      </c>
      <c r="B44" s="289">
        <v>0.72143071390229285</v>
      </c>
      <c r="C44" s="298">
        <v>0.16436072235032939</v>
      </c>
      <c r="D44" s="289">
        <f t="shared" si="0"/>
        <v>1.8303418642415072</v>
      </c>
      <c r="E44" s="289">
        <f t="shared" si="2"/>
        <v>0.41699958867502074</v>
      </c>
      <c r="F44" s="290">
        <f t="shared" si="1"/>
        <v>118312.3090100277</v>
      </c>
      <c r="G44" s="290">
        <f t="shared" si="3"/>
        <v>26954.628070433384</v>
      </c>
    </row>
    <row r="45" spans="1:7" x14ac:dyDescent="0.25">
      <c r="A45" s="297" t="s">
        <v>100</v>
      </c>
      <c r="B45" s="289">
        <v>0.27068410940622001</v>
      </c>
      <c r="C45" s="298">
        <v>8.8078225649125305E-2</v>
      </c>
      <c r="D45" s="289">
        <f t="shared" si="0"/>
        <v>0.68675265397452079</v>
      </c>
      <c r="E45" s="289">
        <f t="shared" si="2"/>
        <v>0.22346326629439581</v>
      </c>
      <c r="F45" s="290">
        <f t="shared" si="1"/>
        <v>44391.3204401084</v>
      </c>
      <c r="G45" s="290">
        <f t="shared" si="3"/>
        <v>14444.544776431014</v>
      </c>
    </row>
    <row r="46" spans="1:7" x14ac:dyDescent="0.25">
      <c r="A46" s="295" t="s">
        <v>101</v>
      </c>
      <c r="B46" s="287">
        <v>0.17748426383484159</v>
      </c>
      <c r="C46" s="296">
        <v>0.32196770244288103</v>
      </c>
      <c r="D46" s="287">
        <f t="shared" si="0"/>
        <v>0.45029532577537656</v>
      </c>
      <c r="E46" s="287">
        <f t="shared" si="2"/>
        <v>0.81686425786783345</v>
      </c>
      <c r="F46" s="288">
        <f t="shared" si="1"/>
        <v>29106.846523987901</v>
      </c>
      <c r="G46" s="288">
        <f t="shared" si="3"/>
        <v>52801.664205039502</v>
      </c>
    </row>
    <row r="47" spans="1:7" x14ac:dyDescent="0.25">
      <c r="A47" s="295" t="s">
        <v>102</v>
      </c>
      <c r="B47" s="287">
        <v>4.0880737115926165</v>
      </c>
      <c r="C47" s="296">
        <v>0.56115751141356474</v>
      </c>
      <c r="D47" s="287">
        <f t="shared" si="0"/>
        <v>10.371851813681628</v>
      </c>
      <c r="E47" s="287">
        <f t="shared" si="2"/>
        <v>1.4237127222073553</v>
      </c>
      <c r="F47" s="288">
        <f t="shared" si="1"/>
        <v>670430.89641345991</v>
      </c>
      <c r="G47" s="288">
        <f t="shared" si="3"/>
        <v>92028.021006396491</v>
      </c>
    </row>
    <row r="48" spans="1:7" x14ac:dyDescent="0.25">
      <c r="A48" s="297" t="s">
        <v>103</v>
      </c>
      <c r="B48" s="289">
        <v>0.28697125730767292</v>
      </c>
      <c r="C48" s="298">
        <v>5.8203326633905948E-2</v>
      </c>
      <c r="D48" s="289">
        <f t="shared" si="0"/>
        <v>0.72807477691529698</v>
      </c>
      <c r="E48" s="289">
        <f t="shared" si="2"/>
        <v>0.14766766000288278</v>
      </c>
      <c r="F48" s="290">
        <f t="shared" si="1"/>
        <v>47062.360137026131</v>
      </c>
      <c r="G48" s="290">
        <f t="shared" si="3"/>
        <v>9545.157744773931</v>
      </c>
    </row>
    <row r="49" spans="1:7" ht="45" x14ac:dyDescent="0.25">
      <c r="A49" s="297" t="s">
        <v>104</v>
      </c>
      <c r="B49" s="289">
        <v>8.1083845702838147E-3</v>
      </c>
      <c r="C49" s="298">
        <v>5.8367020010161828E-3</v>
      </c>
      <c r="D49" s="289">
        <f t="shared" si="0"/>
        <v>2.0571782493267066E-2</v>
      </c>
      <c r="E49" s="289">
        <f t="shared" si="2"/>
        <v>1.4808296646778157E-2</v>
      </c>
      <c r="F49" s="290">
        <f t="shared" si="1"/>
        <v>1329.7489036230379</v>
      </c>
      <c r="G49" s="290">
        <f t="shared" si="3"/>
        <v>957.20029302384125</v>
      </c>
    </row>
    <row r="50" spans="1:7" x14ac:dyDescent="0.25">
      <c r="A50" s="297" t="s">
        <v>105</v>
      </c>
      <c r="B50" s="289">
        <v>5.3053991202090194E-2</v>
      </c>
      <c r="C50" s="298">
        <v>3.3403461580560095E-2</v>
      </c>
      <c r="D50" s="289">
        <f t="shared" si="0"/>
        <v>0.13460328107882305</v>
      </c>
      <c r="E50" s="289">
        <f t="shared" si="2"/>
        <v>8.4747922376039023E-2</v>
      </c>
      <c r="F50" s="290">
        <f t="shared" si="1"/>
        <v>8700.6833509546213</v>
      </c>
      <c r="G50" s="290">
        <f t="shared" si="3"/>
        <v>5478.0599056378123</v>
      </c>
    </row>
    <row r="51" spans="1:7" x14ac:dyDescent="0.25">
      <c r="A51" s="297" t="s">
        <v>106</v>
      </c>
      <c r="B51" s="289">
        <v>0.16087959991907153</v>
      </c>
      <c r="C51" s="298">
        <v>5.4030428255874507E-2</v>
      </c>
      <c r="D51" s="289">
        <f t="shared" si="0"/>
        <v>0.4081676329546764</v>
      </c>
      <c r="E51" s="289">
        <f t="shared" si="2"/>
        <v>0.13708059952797921</v>
      </c>
      <c r="F51" s="290">
        <f t="shared" si="1"/>
        <v>26383.735225352077</v>
      </c>
      <c r="G51" s="290">
        <f t="shared" si="3"/>
        <v>8860.8158767952336</v>
      </c>
    </row>
    <row r="52" spans="1:7" x14ac:dyDescent="0.25">
      <c r="A52" s="297" t="s">
        <v>107</v>
      </c>
      <c r="B52" s="289">
        <v>0.11057978809058126</v>
      </c>
      <c r="C52" s="298">
        <v>4.4560975367173905E-2</v>
      </c>
      <c r="D52" s="289">
        <f t="shared" si="0"/>
        <v>0.28055198036461376</v>
      </c>
      <c r="E52" s="289">
        <f t="shared" si="2"/>
        <v>0.11305565060405694</v>
      </c>
      <c r="F52" s="290">
        <f t="shared" si="1"/>
        <v>18134.728403881243</v>
      </c>
      <c r="G52" s="290">
        <f t="shared" si="3"/>
        <v>7307.856161143899</v>
      </c>
    </row>
    <row r="53" spans="1:7" x14ac:dyDescent="0.25">
      <c r="A53" s="299" t="s">
        <v>62</v>
      </c>
      <c r="B53" s="300"/>
      <c r="C53" s="300"/>
      <c r="D53" s="301">
        <f>SUM(D8:D52)</f>
        <v>253.70999999999992</v>
      </c>
      <c r="E53" s="302"/>
      <c r="F53" s="303">
        <f>SUM(F8:F52)</f>
        <v>16399677.298193226</v>
      </c>
      <c r="G53" s="300"/>
    </row>
    <row r="54" spans="1:7" x14ac:dyDescent="0.25">
      <c r="C54" s="292"/>
      <c r="D54" s="29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H15"/>
  <sheetViews>
    <sheetView showGridLines="0" zoomScale="80" zoomScaleNormal="80" workbookViewId="0">
      <pane xSplit="1" topLeftCell="B1" activePane="topRight" state="frozen"/>
      <selection pane="topRight" activeCell="F3" sqref="F3"/>
    </sheetView>
  </sheetViews>
  <sheetFormatPr baseColWidth="10" defaultColWidth="25.42578125" defaultRowHeight="15" x14ac:dyDescent="0.25"/>
  <cols>
    <col min="1" max="1" width="25.42578125" style="304"/>
    <col min="2" max="2" width="25.85546875" style="304" customWidth="1"/>
    <col min="3" max="8" width="12.7109375" style="304" customWidth="1"/>
    <col min="9" max="9" width="20.7109375" style="304" customWidth="1"/>
    <col min="10" max="10" width="16.140625" style="304" customWidth="1"/>
    <col min="11" max="12" width="12.7109375" style="304" customWidth="1"/>
    <col min="13" max="13" width="22.7109375" style="304" customWidth="1"/>
    <col min="14" max="14" width="32" style="304" customWidth="1"/>
    <col min="15" max="16384" width="25.42578125" style="304"/>
  </cols>
  <sheetData>
    <row r="2" spans="2:8" ht="30" x14ac:dyDescent="0.25">
      <c r="B2" s="306"/>
      <c r="C2" s="309" t="s">
        <v>253</v>
      </c>
      <c r="D2" s="309" t="s">
        <v>254</v>
      </c>
      <c r="E2" s="309" t="s">
        <v>255</v>
      </c>
      <c r="F2" s="309" t="s">
        <v>256</v>
      </c>
      <c r="G2" s="309" t="s">
        <v>257</v>
      </c>
      <c r="H2" s="309" t="s">
        <v>258</v>
      </c>
    </row>
    <row r="3" spans="2:8" x14ac:dyDescent="0.25">
      <c r="B3" s="306"/>
      <c r="C3" s="306" t="s">
        <v>259</v>
      </c>
      <c r="D3" s="306" t="s">
        <v>254</v>
      </c>
      <c r="E3" s="306" t="s">
        <v>260</v>
      </c>
      <c r="F3" s="306" t="s">
        <v>256</v>
      </c>
      <c r="G3" s="306" t="s">
        <v>261</v>
      </c>
      <c r="H3" s="306" t="s">
        <v>258</v>
      </c>
    </row>
    <row r="4" spans="2:8" x14ac:dyDescent="0.25">
      <c r="B4" s="306" t="s">
        <v>6</v>
      </c>
      <c r="C4" s="307">
        <v>32.126183930288491</v>
      </c>
      <c r="D4" s="307">
        <v>1.0737090977367463</v>
      </c>
      <c r="E4" s="307">
        <v>34.343251301016238</v>
      </c>
      <c r="F4" s="307">
        <v>1.5637422337148086</v>
      </c>
      <c r="G4" s="307">
        <v>32.759130962328712</v>
      </c>
      <c r="H4" s="307">
        <v>0.99382577029275043</v>
      </c>
    </row>
    <row r="5" spans="2:8" x14ac:dyDescent="0.25">
      <c r="B5" s="306" t="s">
        <v>12</v>
      </c>
      <c r="C5" s="307">
        <v>8.482183899622104</v>
      </c>
      <c r="D5" s="307">
        <v>0.62535996155824602</v>
      </c>
      <c r="E5" s="307">
        <v>9.7503016123018025</v>
      </c>
      <c r="F5" s="307">
        <v>0.84776174703070695</v>
      </c>
      <c r="G5" s="307">
        <v>8.6128091519223293</v>
      </c>
      <c r="H5" s="307">
        <v>0.5643604713362893</v>
      </c>
    </row>
    <row r="6" spans="2:8" x14ac:dyDescent="0.25">
      <c r="B6" s="306" t="s">
        <v>18</v>
      </c>
      <c r="C6" s="307">
        <v>5.9515740423983834</v>
      </c>
      <c r="D6" s="307">
        <v>0.3688237982010229</v>
      </c>
      <c r="E6" s="307">
        <v>7.7890911980712731</v>
      </c>
      <c r="F6" s="307">
        <v>0.69042480220184221</v>
      </c>
      <c r="G6" s="307">
        <v>6.4080714900852618</v>
      </c>
      <c r="H6" s="307">
        <v>0.39049244381685566</v>
      </c>
    </row>
    <row r="7" spans="2:8" x14ac:dyDescent="0.25">
      <c r="B7" s="306" t="s">
        <v>22</v>
      </c>
      <c r="C7" s="307">
        <v>2.4443328683404975</v>
      </c>
      <c r="D7" s="307">
        <v>0.1654847430870327</v>
      </c>
      <c r="E7" s="307">
        <v>1.9162469555978179</v>
      </c>
      <c r="F7" s="307">
        <v>0.19218846937903319</v>
      </c>
      <c r="G7" s="307">
        <v>2.3372684964182922</v>
      </c>
      <c r="H7" s="307">
        <v>0.1431839166770309</v>
      </c>
    </row>
    <row r="8" spans="2:8" x14ac:dyDescent="0.25">
      <c r="B8" s="306" t="s">
        <v>26</v>
      </c>
      <c r="C8" s="307">
        <v>3.3334407358064078</v>
      </c>
      <c r="D8" s="307">
        <v>0.2980755537517944</v>
      </c>
      <c r="E8" s="307">
        <v>1.8429300952194194</v>
      </c>
      <c r="F8" s="307">
        <v>0.31766009154384495</v>
      </c>
      <c r="G8" s="307">
        <v>3.0316602797141745</v>
      </c>
      <c r="H8" s="307">
        <v>0.24249289845197514</v>
      </c>
    </row>
    <row r="9" spans="2:8" x14ac:dyDescent="0.25">
      <c r="B9" s="306" t="s">
        <v>27</v>
      </c>
      <c r="C9" s="307">
        <v>13.724047131069607</v>
      </c>
      <c r="D9" s="307">
        <v>0.70970615047374186</v>
      </c>
      <c r="E9" s="307">
        <v>14.33141855547869</v>
      </c>
      <c r="F9" s="307">
        <v>1.2302315704892293</v>
      </c>
      <c r="G9" s="307">
        <v>13.912847770848886</v>
      </c>
      <c r="H9" s="307">
        <v>0.65771003416255058</v>
      </c>
    </row>
    <row r="10" spans="2:8" x14ac:dyDescent="0.25">
      <c r="B10" s="306" t="s">
        <v>31</v>
      </c>
      <c r="C10" s="307">
        <v>14.68453555400005</v>
      </c>
      <c r="D10" s="307">
        <v>0.49185384345896349</v>
      </c>
      <c r="E10" s="307">
        <v>14.527445607460004</v>
      </c>
      <c r="F10" s="307">
        <v>0.57623323989984943</v>
      </c>
      <c r="G10" s="307">
        <v>14.694376652312288</v>
      </c>
      <c r="H10" s="307">
        <v>0.43499564764666282</v>
      </c>
    </row>
    <row r="11" spans="2:8" x14ac:dyDescent="0.25">
      <c r="B11" s="306" t="s">
        <v>39</v>
      </c>
      <c r="C11" s="307">
        <v>4.7204454957364295</v>
      </c>
      <c r="D11" s="307">
        <v>0.39875488239541185</v>
      </c>
      <c r="E11" s="307">
        <v>4.2188258516639783</v>
      </c>
      <c r="F11" s="307">
        <v>0.40337459347756527</v>
      </c>
      <c r="G11" s="307">
        <v>4.5703719854660037</v>
      </c>
      <c r="H11" s="307">
        <v>0.35012812524755127</v>
      </c>
    </row>
    <row r="12" spans="2:8" x14ac:dyDescent="0.25">
      <c r="B12" s="306" t="s">
        <v>44</v>
      </c>
      <c r="C12" s="307">
        <v>5.6403350569529973</v>
      </c>
      <c r="D12" s="307">
        <v>0.43988904380465704</v>
      </c>
      <c r="E12" s="307">
        <v>4.4743592891918551</v>
      </c>
      <c r="F12" s="307">
        <v>0.49186758616868281</v>
      </c>
      <c r="G12" s="307">
        <v>5.3482423471829135</v>
      </c>
      <c r="H12" s="307">
        <v>0.37883485947871587</v>
      </c>
    </row>
    <row r="13" spans="2:8" x14ac:dyDescent="0.25">
      <c r="B13" s="306" t="s">
        <v>48</v>
      </c>
      <c r="C13" s="307">
        <v>3.5894450818532762</v>
      </c>
      <c r="D13" s="307">
        <v>0.27725697011752504</v>
      </c>
      <c r="E13" s="307">
        <v>3.066455431791741</v>
      </c>
      <c r="F13" s="307">
        <v>0.28973025483358461</v>
      </c>
      <c r="G13" s="307">
        <v>3.4393298703807811</v>
      </c>
      <c r="H13" s="307">
        <v>0.23421478112916508</v>
      </c>
    </row>
    <row r="14" spans="2:8" x14ac:dyDescent="0.25">
      <c r="B14" s="306" t="s">
        <v>53</v>
      </c>
      <c r="C14" s="307">
        <v>4.732587435470311</v>
      </c>
      <c r="D14" s="307">
        <v>0.4983531698790945</v>
      </c>
      <c r="E14" s="307">
        <v>2.9987843918565904</v>
      </c>
      <c r="F14" s="307">
        <v>0.40974889399134751</v>
      </c>
      <c r="G14" s="307">
        <v>4.2654923985136142</v>
      </c>
      <c r="H14" s="307">
        <v>0.42169024988496928</v>
      </c>
    </row>
    <row r="15" spans="2:8" x14ac:dyDescent="0.25">
      <c r="B15" s="306" t="s">
        <v>56</v>
      </c>
      <c r="C15" s="307">
        <v>0.57088876846145509</v>
      </c>
      <c r="D15" s="307">
        <v>9.9214417590583123E-2</v>
      </c>
      <c r="E15" s="307">
        <v>0.7408897103506038</v>
      </c>
      <c r="F15" s="307">
        <v>0.20338087029049967</v>
      </c>
      <c r="G15" s="307">
        <v>0.6195930210896996</v>
      </c>
      <c r="H15" s="307">
        <v>9.9471696966148021E-2</v>
      </c>
    </row>
  </sheetData>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G13" sqref="G13"/>
    </sheetView>
  </sheetViews>
  <sheetFormatPr baseColWidth="10" defaultRowHeight="12.75" x14ac:dyDescent="0.2"/>
  <cols>
    <col min="1" max="1" width="27" customWidth="1"/>
    <col min="2" max="7" width="15.7109375" customWidth="1"/>
  </cols>
  <sheetData>
    <row r="1" spans="1:7" ht="45" x14ac:dyDescent="0.25">
      <c r="A1" s="219" t="s">
        <v>0</v>
      </c>
      <c r="B1" s="212" t="s">
        <v>193</v>
      </c>
      <c r="C1" s="212" t="s">
        <v>194</v>
      </c>
      <c r="D1" s="212" t="s">
        <v>195</v>
      </c>
      <c r="E1" s="212" t="s">
        <v>196</v>
      </c>
      <c r="F1" s="212" t="s">
        <v>197</v>
      </c>
      <c r="G1" s="212" t="s">
        <v>198</v>
      </c>
    </row>
    <row r="2" spans="1:7" ht="15" x14ac:dyDescent="0.25">
      <c r="A2" s="220" t="s">
        <v>6</v>
      </c>
      <c r="B2" s="221">
        <v>32.126183930288491</v>
      </c>
      <c r="C2" s="221">
        <v>1.0737090977367463</v>
      </c>
      <c r="D2" s="221">
        <v>34.343251301016238</v>
      </c>
      <c r="E2" s="221">
        <v>1.5637422337148086</v>
      </c>
      <c r="F2" s="221">
        <v>32.7591326974864</v>
      </c>
      <c r="G2" s="221">
        <v>0.99382577029275043</v>
      </c>
    </row>
    <row r="3" spans="1:7" ht="15" x14ac:dyDescent="0.25">
      <c r="A3" s="220" t="s">
        <v>12</v>
      </c>
      <c r="B3" s="221">
        <v>8.482183899622104</v>
      </c>
      <c r="C3" s="221">
        <v>0.62535996155824602</v>
      </c>
      <c r="D3" s="221">
        <v>9.7503016123018025</v>
      </c>
      <c r="E3" s="221">
        <v>0.84776174703070695</v>
      </c>
      <c r="F3" s="221">
        <v>8.6128091519223293</v>
      </c>
      <c r="G3" s="221">
        <v>0.5643604713362893</v>
      </c>
    </row>
    <row r="4" spans="1:7" ht="15" x14ac:dyDescent="0.25">
      <c r="A4" s="220" t="s">
        <v>18</v>
      </c>
      <c r="B4" s="221">
        <v>5.9515740423983834</v>
      </c>
      <c r="C4" s="221">
        <v>0.3688237982010229</v>
      </c>
      <c r="D4" s="221">
        <v>7.7890911980712731</v>
      </c>
      <c r="E4" s="221">
        <v>0.69042480220184221</v>
      </c>
      <c r="F4" s="221">
        <v>6.40807149008526</v>
      </c>
      <c r="G4" s="221">
        <v>0.39049244381685566</v>
      </c>
    </row>
    <row r="5" spans="1:7" ht="15" x14ac:dyDescent="0.25">
      <c r="A5" s="220" t="s">
        <v>22</v>
      </c>
      <c r="B5" s="221">
        <v>2.4443328683404975</v>
      </c>
      <c r="C5" s="221">
        <v>0.1654847430870327</v>
      </c>
      <c r="D5" s="221">
        <v>1.9162469555978179</v>
      </c>
      <c r="E5" s="221">
        <v>0.19218846937903319</v>
      </c>
      <c r="F5" s="221">
        <v>2.3372684964182899</v>
      </c>
      <c r="G5" s="221">
        <v>0.1431839166770309</v>
      </c>
    </row>
    <row r="6" spans="1:7" ht="15" x14ac:dyDescent="0.25">
      <c r="A6" s="220" t="s">
        <v>26</v>
      </c>
      <c r="B6" s="221">
        <v>3.3334407358064078</v>
      </c>
      <c r="C6" s="221">
        <v>0.2980755537517944</v>
      </c>
      <c r="D6" s="221">
        <v>1.8429300952194194</v>
      </c>
      <c r="E6" s="221">
        <v>0.31766009154384495</v>
      </c>
      <c r="F6" s="221">
        <v>3.0316602797141701</v>
      </c>
      <c r="G6" s="221">
        <v>0.24249289845197514</v>
      </c>
    </row>
    <row r="7" spans="1:7" ht="15" x14ac:dyDescent="0.25">
      <c r="A7" s="220" t="s">
        <v>27</v>
      </c>
      <c r="B7" s="221">
        <v>13.724047131069607</v>
      </c>
      <c r="C7" s="221">
        <v>0.70970615047374186</v>
      </c>
      <c r="D7" s="221">
        <v>14.33141855547869</v>
      </c>
      <c r="E7" s="221">
        <v>1.2302315704892293</v>
      </c>
      <c r="F7" s="221">
        <v>13.912847770848899</v>
      </c>
      <c r="G7" s="221">
        <v>0.65771003416255058</v>
      </c>
    </row>
    <row r="8" spans="1:7" ht="15" x14ac:dyDescent="0.25">
      <c r="A8" s="220" t="s">
        <v>31</v>
      </c>
      <c r="B8" s="221">
        <v>14.68453555400005</v>
      </c>
      <c r="C8" s="221">
        <v>0.49185384345896349</v>
      </c>
      <c r="D8" s="221">
        <v>14.527445607460004</v>
      </c>
      <c r="E8" s="221">
        <v>0.57623323989984943</v>
      </c>
      <c r="F8" s="221">
        <v>14.694659926717801</v>
      </c>
      <c r="G8" s="221">
        <v>0.43499564764666282</v>
      </c>
    </row>
    <row r="9" spans="1:7" ht="15" x14ac:dyDescent="0.25">
      <c r="A9" s="220" t="s">
        <v>39</v>
      </c>
      <c r="B9" s="221">
        <v>4.7204454957364295</v>
      </c>
      <c r="C9" s="221">
        <v>0.39875488239541185</v>
      </c>
      <c r="D9" s="221">
        <v>4.2188258516639783</v>
      </c>
      <c r="E9" s="221">
        <v>0.40337459347756527</v>
      </c>
      <c r="F9" s="221">
        <v>4.5703719854660001</v>
      </c>
      <c r="G9" s="221">
        <v>0.35012812524755127</v>
      </c>
    </row>
    <row r="10" spans="1:7" ht="15" x14ac:dyDescent="0.25">
      <c r="A10" s="220" t="s">
        <v>44</v>
      </c>
      <c r="B10" s="221">
        <v>5.6403350569529973</v>
      </c>
      <c r="C10" s="221">
        <v>0.43988904380465704</v>
      </c>
      <c r="D10" s="221">
        <v>4.4743592891918551</v>
      </c>
      <c r="E10" s="221">
        <v>0.49186758616868281</v>
      </c>
      <c r="F10" s="221">
        <v>5.3486192652972502</v>
      </c>
      <c r="G10" s="221">
        <v>0.37883485947871587</v>
      </c>
    </row>
    <row r="11" spans="1:7" ht="15" x14ac:dyDescent="0.25">
      <c r="A11" s="220" t="s">
        <v>48</v>
      </c>
      <c r="B11" s="221">
        <v>3.5894450818532762</v>
      </c>
      <c r="C11" s="221">
        <v>0.27725697011752504</v>
      </c>
      <c r="D11" s="221">
        <v>3.066455431791741</v>
      </c>
      <c r="E11" s="221">
        <v>0.28973025483358461</v>
      </c>
      <c r="F11" s="221">
        <v>3.4394079395264696</v>
      </c>
      <c r="G11" s="221">
        <v>0.23421478112916508</v>
      </c>
    </row>
    <row r="12" spans="1:7" ht="15" x14ac:dyDescent="0.25">
      <c r="A12" s="220" t="s">
        <v>53</v>
      </c>
      <c r="B12" s="221">
        <v>4.732587435470311</v>
      </c>
      <c r="C12" s="221">
        <v>0.4983531698790945</v>
      </c>
      <c r="D12" s="221">
        <v>2.9987843918565904</v>
      </c>
      <c r="E12" s="221">
        <v>0.40974889399134751</v>
      </c>
      <c r="F12" s="221">
        <v>4.26555797542746</v>
      </c>
      <c r="G12" s="221">
        <v>0.42169024988496928</v>
      </c>
    </row>
    <row r="13" spans="1:7" ht="15" x14ac:dyDescent="0.25">
      <c r="A13" s="220" t="s">
        <v>56</v>
      </c>
      <c r="B13" s="221">
        <v>0.57088876846145509</v>
      </c>
      <c r="C13" s="221">
        <v>9.9214417590583123E-2</v>
      </c>
      <c r="D13" s="221">
        <v>0.7408897103506038</v>
      </c>
      <c r="E13" s="221">
        <v>0.20338087029049967</v>
      </c>
      <c r="F13" s="221">
        <v>0.61959302108970005</v>
      </c>
      <c r="G13" s="221">
        <v>9.9471696966148021E-2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80" zoomScaleNormal="80" workbookViewId="0"/>
  </sheetViews>
  <sheetFormatPr baseColWidth="10" defaultRowHeight="12.75" x14ac:dyDescent="0.2"/>
  <cols>
    <col min="1" max="1" width="40.85546875" customWidth="1"/>
    <col min="2" max="7" width="20.7109375" customWidth="1"/>
  </cols>
  <sheetData>
    <row r="1" spans="1:7" ht="28.5" customHeight="1" x14ac:dyDescent="0.2">
      <c r="C1" s="593" t="s">
        <v>124</v>
      </c>
      <c r="D1" s="594"/>
      <c r="E1" s="594"/>
      <c r="F1" s="594"/>
      <c r="G1" s="595"/>
    </row>
    <row r="2" spans="1:7" ht="45" x14ac:dyDescent="0.25">
      <c r="A2" s="21" t="s">
        <v>63</v>
      </c>
      <c r="B2" s="22" t="s">
        <v>109</v>
      </c>
      <c r="C2" s="22" t="s">
        <v>110</v>
      </c>
      <c r="D2" s="22" t="s">
        <v>111</v>
      </c>
      <c r="E2" s="22" t="s">
        <v>112</v>
      </c>
      <c r="F2" s="22" t="s">
        <v>114</v>
      </c>
      <c r="G2" s="22" t="s">
        <v>113</v>
      </c>
    </row>
    <row r="3" spans="1:7" x14ac:dyDescent="0.2">
      <c r="A3" s="23" t="s">
        <v>64</v>
      </c>
      <c r="B3" s="432">
        <v>14.968812541599858</v>
      </c>
      <c r="C3" s="432">
        <f>B3</f>
        <v>14.968812541599858</v>
      </c>
      <c r="D3" s="432"/>
      <c r="E3" s="432"/>
      <c r="F3" s="432"/>
      <c r="G3" s="432"/>
    </row>
    <row r="4" spans="1:7" x14ac:dyDescent="0.2">
      <c r="A4" s="23" t="s">
        <v>65</v>
      </c>
      <c r="B4" s="432">
        <v>9.0872169675003356</v>
      </c>
      <c r="C4" s="432">
        <f>B4</f>
        <v>9.0872169675003356</v>
      </c>
      <c r="D4" s="432"/>
      <c r="E4" s="432"/>
      <c r="F4" s="432"/>
      <c r="G4" s="432"/>
    </row>
    <row r="5" spans="1:7" x14ac:dyDescent="0.2">
      <c r="A5" s="23" t="s">
        <v>66</v>
      </c>
      <c r="B5" s="432">
        <v>2.3717188467009778</v>
      </c>
      <c r="C5" s="432">
        <f>B5</f>
        <v>2.3717188467009778</v>
      </c>
      <c r="D5" s="432"/>
      <c r="E5" s="432"/>
      <c r="F5" s="432"/>
      <c r="G5" s="432"/>
    </row>
    <row r="6" spans="1:7" x14ac:dyDescent="0.2">
      <c r="A6" s="23" t="s">
        <v>67</v>
      </c>
      <c r="B6" s="432">
        <v>1.5937666197618792</v>
      </c>
      <c r="C6" s="432"/>
      <c r="D6" s="432"/>
      <c r="E6" s="432"/>
      <c r="F6" s="432"/>
      <c r="G6" s="432"/>
    </row>
    <row r="7" spans="1:7" x14ac:dyDescent="0.2">
      <c r="A7" s="23" t="s">
        <v>68</v>
      </c>
      <c r="B7" s="432">
        <v>4.7376177219233329</v>
      </c>
      <c r="C7" s="432">
        <f>B7</f>
        <v>4.7376177219233329</v>
      </c>
      <c r="D7" s="432"/>
      <c r="E7" s="432"/>
      <c r="F7" s="432"/>
      <c r="G7" s="432"/>
    </row>
    <row r="8" spans="1:7" x14ac:dyDescent="0.2">
      <c r="A8" s="24" t="s">
        <v>69</v>
      </c>
      <c r="B8" s="433">
        <v>1.2211940799489098</v>
      </c>
      <c r="C8" s="433"/>
      <c r="D8" s="433">
        <f t="shared" ref="D8:D16" si="0">B8</f>
        <v>1.2211940799489098</v>
      </c>
      <c r="E8" s="433"/>
      <c r="F8" s="433"/>
      <c r="G8" s="433">
        <f t="shared" ref="G8:G19" si="1">B8</f>
        <v>1.2211940799489098</v>
      </c>
    </row>
    <row r="9" spans="1:7" x14ac:dyDescent="0.2">
      <c r="A9" s="24" t="s">
        <v>70</v>
      </c>
      <c r="B9" s="433">
        <v>1.5761478039004708</v>
      </c>
      <c r="C9" s="433"/>
      <c r="D9" s="433">
        <f t="shared" si="0"/>
        <v>1.5761478039004708</v>
      </c>
      <c r="E9" s="433"/>
      <c r="F9" s="433"/>
      <c r="G9" s="433">
        <f t="shared" si="1"/>
        <v>1.5761478039004708</v>
      </c>
    </row>
    <row r="10" spans="1:7" x14ac:dyDescent="0.2">
      <c r="A10" s="24" t="s">
        <v>71</v>
      </c>
      <c r="B10" s="433">
        <v>2.5942872220607054</v>
      </c>
      <c r="C10" s="433"/>
      <c r="D10" s="433">
        <f t="shared" si="0"/>
        <v>2.5942872220607054</v>
      </c>
      <c r="E10" s="433"/>
      <c r="F10" s="433"/>
      <c r="G10" s="433">
        <f t="shared" si="1"/>
        <v>2.5942872220607054</v>
      </c>
    </row>
    <row r="11" spans="1:7" x14ac:dyDescent="0.2">
      <c r="A11" s="24" t="s">
        <v>72</v>
      </c>
      <c r="B11" s="433">
        <v>2.0621787844745323</v>
      </c>
      <c r="C11" s="433"/>
      <c r="D11" s="433">
        <f t="shared" si="0"/>
        <v>2.0621787844745323</v>
      </c>
      <c r="E11" s="433"/>
      <c r="F11" s="433"/>
      <c r="G11" s="433">
        <f t="shared" si="1"/>
        <v>2.0621787844745323</v>
      </c>
    </row>
    <row r="12" spans="1:7" x14ac:dyDescent="0.2">
      <c r="A12" s="24" t="s">
        <v>73</v>
      </c>
      <c r="B12" s="433">
        <v>1.159001261537715</v>
      </c>
      <c r="C12" s="433"/>
      <c r="D12" s="433">
        <f t="shared" si="0"/>
        <v>1.159001261537715</v>
      </c>
      <c r="E12" s="433"/>
      <c r="F12" s="433"/>
      <c r="G12" s="433">
        <f t="shared" si="1"/>
        <v>1.159001261537715</v>
      </c>
    </row>
    <row r="13" spans="1:7" x14ac:dyDescent="0.2">
      <c r="A13" s="25" t="s">
        <v>74</v>
      </c>
      <c r="B13" s="434">
        <v>3.5779422187965615</v>
      </c>
      <c r="C13" s="434"/>
      <c r="D13" s="434">
        <f t="shared" si="0"/>
        <v>3.5779422187965615</v>
      </c>
      <c r="E13" s="434"/>
      <c r="F13" s="434"/>
      <c r="G13" s="434">
        <f t="shared" si="1"/>
        <v>3.5779422187965615</v>
      </c>
    </row>
    <row r="14" spans="1:7" x14ac:dyDescent="0.2">
      <c r="A14" s="25" t="s">
        <v>75</v>
      </c>
      <c r="B14" s="434">
        <v>2.575068168328607</v>
      </c>
      <c r="C14" s="434"/>
      <c r="D14" s="434">
        <f t="shared" si="0"/>
        <v>2.575068168328607</v>
      </c>
      <c r="E14" s="434"/>
      <c r="F14" s="434"/>
      <c r="G14" s="434">
        <f t="shared" si="1"/>
        <v>2.575068168328607</v>
      </c>
    </row>
    <row r="15" spans="1:7" x14ac:dyDescent="0.2">
      <c r="A15" s="25" t="s">
        <v>76</v>
      </c>
      <c r="B15" s="434">
        <v>0.25506110296009071</v>
      </c>
      <c r="C15" s="434"/>
      <c r="D15" s="434">
        <f t="shared" si="0"/>
        <v>0.25506110296009071</v>
      </c>
      <c r="E15" s="434"/>
      <c r="F15" s="434"/>
      <c r="G15" s="434">
        <f t="shared" si="1"/>
        <v>0.25506110296009071</v>
      </c>
    </row>
    <row r="16" spans="1:7" x14ac:dyDescent="0.2">
      <c r="A16" s="26" t="s">
        <v>77</v>
      </c>
      <c r="B16" s="435">
        <v>0.52631796710449219</v>
      </c>
      <c r="C16" s="435"/>
      <c r="D16" s="435">
        <f t="shared" si="0"/>
        <v>0.52631796710449219</v>
      </c>
      <c r="E16" s="435"/>
      <c r="F16" s="435"/>
      <c r="G16" s="435">
        <f t="shared" si="1"/>
        <v>0.52631796710449219</v>
      </c>
    </row>
    <row r="17" spans="1:7" x14ac:dyDescent="0.2">
      <c r="A17" s="26" t="s">
        <v>78</v>
      </c>
      <c r="B17" s="435">
        <v>1.085779799887733</v>
      </c>
      <c r="C17" s="435"/>
      <c r="D17" s="435"/>
      <c r="E17" s="435">
        <f>B17</f>
        <v>1.085779799887733</v>
      </c>
      <c r="F17" s="435"/>
      <c r="G17" s="435">
        <f t="shared" si="1"/>
        <v>1.085779799887733</v>
      </c>
    </row>
    <row r="18" spans="1:7" x14ac:dyDescent="0.2">
      <c r="A18" s="26" t="s">
        <v>79</v>
      </c>
      <c r="B18" s="435">
        <v>0.72517072942606764</v>
      </c>
      <c r="C18" s="435"/>
      <c r="D18" s="435"/>
      <c r="E18" s="435"/>
      <c r="F18" s="435"/>
      <c r="G18" s="435">
        <f t="shared" si="1"/>
        <v>0.72517072942606764</v>
      </c>
    </row>
    <row r="19" spans="1:7" x14ac:dyDescent="0.2">
      <c r="A19" s="27" t="s">
        <v>26</v>
      </c>
      <c r="B19" s="436">
        <v>3.0316602797141745</v>
      </c>
      <c r="C19" s="436"/>
      <c r="D19" s="436"/>
      <c r="E19" s="436"/>
      <c r="F19" s="436"/>
      <c r="G19" s="436">
        <f t="shared" si="1"/>
        <v>3.0316602797141745</v>
      </c>
    </row>
    <row r="20" spans="1:7" x14ac:dyDescent="0.2">
      <c r="A20" s="28" t="s">
        <v>80</v>
      </c>
      <c r="B20" s="437">
        <v>4.211986715910526</v>
      </c>
      <c r="C20" s="437"/>
      <c r="D20" s="437"/>
      <c r="E20" s="437"/>
      <c r="F20" s="437">
        <v>4.211986715910526</v>
      </c>
      <c r="G20" s="437"/>
    </row>
    <row r="21" spans="1:7" x14ac:dyDescent="0.2">
      <c r="A21" s="28" t="s">
        <v>81</v>
      </c>
      <c r="B21" s="437">
        <v>3.0261267021666747</v>
      </c>
      <c r="C21" s="437"/>
      <c r="D21" s="437"/>
      <c r="E21" s="437"/>
      <c r="F21" s="437">
        <v>3.0261267021666747</v>
      </c>
      <c r="G21" s="437"/>
    </row>
    <row r="22" spans="1:7" x14ac:dyDescent="0.2">
      <c r="A22" s="28" t="s">
        <v>82</v>
      </c>
      <c r="B22" s="437">
        <v>6.6747343527716794</v>
      </c>
      <c r="C22" s="437">
        <f>B22</f>
        <v>6.6747343527716794</v>
      </c>
      <c r="D22" s="437"/>
      <c r="E22" s="437"/>
      <c r="F22" s="437"/>
      <c r="G22" s="437"/>
    </row>
    <row r="23" spans="1:7" x14ac:dyDescent="0.2">
      <c r="A23" s="29" t="s">
        <v>83</v>
      </c>
      <c r="B23" s="438">
        <v>2.3429586342211279</v>
      </c>
      <c r="C23" s="438"/>
      <c r="D23" s="438"/>
      <c r="E23" s="438"/>
      <c r="F23" s="438">
        <v>2.3429586342211279</v>
      </c>
      <c r="G23" s="438"/>
    </row>
    <row r="24" spans="1:7" x14ac:dyDescent="0.2">
      <c r="A24" s="29" t="s">
        <v>84</v>
      </c>
      <c r="B24" s="438">
        <v>0.78312789511459713</v>
      </c>
      <c r="C24" s="438"/>
      <c r="D24" s="438"/>
      <c r="E24" s="438">
        <f>B24</f>
        <v>0.78312789511459713</v>
      </c>
      <c r="F24" s="438"/>
      <c r="G24" s="438">
        <f>B24</f>
        <v>0.78312789511459713</v>
      </c>
    </row>
    <row r="25" spans="1:7" x14ac:dyDescent="0.2">
      <c r="A25" s="29" t="s">
        <v>85</v>
      </c>
      <c r="B25" s="438">
        <v>3.663387392189883</v>
      </c>
      <c r="C25" s="438"/>
      <c r="D25" s="438"/>
      <c r="E25" s="438">
        <f>B25</f>
        <v>3.663387392189883</v>
      </c>
      <c r="F25" s="438"/>
      <c r="G25" s="438">
        <f>B25</f>
        <v>3.663387392189883</v>
      </c>
    </row>
    <row r="26" spans="1:7" x14ac:dyDescent="0.2">
      <c r="A26" s="29" t="s">
        <v>86</v>
      </c>
      <c r="B26" s="438">
        <v>1.2030562219642862</v>
      </c>
      <c r="C26" s="438"/>
      <c r="D26" s="438">
        <f>B26</f>
        <v>1.2030562219642862</v>
      </c>
      <c r="E26" s="438"/>
      <c r="F26" s="438"/>
      <c r="G26" s="438">
        <f>B26</f>
        <v>1.2030562219642862</v>
      </c>
    </row>
    <row r="27" spans="1:7" x14ac:dyDescent="0.2">
      <c r="A27" s="29" t="s">
        <v>87</v>
      </c>
      <c r="B27" s="438">
        <v>0.55790952938181215</v>
      </c>
      <c r="C27" s="438"/>
      <c r="D27" s="438">
        <f>B27</f>
        <v>0.55790952938181215</v>
      </c>
      <c r="E27" s="438"/>
      <c r="F27" s="438"/>
      <c r="G27" s="438">
        <f>B27</f>
        <v>0.55790952938181215</v>
      </c>
    </row>
    <row r="28" spans="1:7" x14ac:dyDescent="0.2">
      <c r="A28" s="29" t="s">
        <v>88</v>
      </c>
      <c r="B28" s="438">
        <v>4.0067494456224102</v>
      </c>
      <c r="C28" s="438"/>
      <c r="D28" s="438"/>
      <c r="E28" s="438">
        <f>B28</f>
        <v>4.0067494456224102</v>
      </c>
      <c r="F28" s="438"/>
      <c r="G28" s="438">
        <f>B28</f>
        <v>4.0067494456224102</v>
      </c>
    </row>
    <row r="29" spans="1:7" x14ac:dyDescent="0.2">
      <c r="A29" s="29" t="s">
        <v>89</v>
      </c>
      <c r="B29" s="438">
        <v>2.1374708082236764</v>
      </c>
      <c r="C29" s="438"/>
      <c r="D29" s="438"/>
      <c r="E29" s="438"/>
      <c r="F29" s="438">
        <v>2.1374708082236764</v>
      </c>
      <c r="G29" s="438"/>
    </row>
    <row r="30" spans="1:7" x14ac:dyDescent="0.2">
      <c r="A30" s="30" t="s">
        <v>90</v>
      </c>
      <c r="B30" s="439">
        <v>0.31819288171924887</v>
      </c>
      <c r="C30" s="439"/>
      <c r="D30" s="439"/>
      <c r="E30" s="439">
        <f>B30</f>
        <v>0.31819288171924887</v>
      </c>
      <c r="F30" s="439"/>
      <c r="G30" s="439">
        <f>B30</f>
        <v>0.31819288171924887</v>
      </c>
    </row>
    <row r="31" spans="1:7" x14ac:dyDescent="0.2">
      <c r="A31" s="30" t="s">
        <v>91</v>
      </c>
      <c r="B31" s="439">
        <v>0.738607255928453</v>
      </c>
      <c r="C31" s="439"/>
      <c r="D31" s="439"/>
      <c r="E31" s="439"/>
      <c r="F31" s="439"/>
      <c r="G31" s="439">
        <f>B31</f>
        <v>0.738607255928453</v>
      </c>
    </row>
    <row r="32" spans="1:7" x14ac:dyDescent="0.2">
      <c r="A32" s="30" t="s">
        <v>92</v>
      </c>
      <c r="B32" s="439">
        <v>0.21000489256590713</v>
      </c>
      <c r="C32" s="439"/>
      <c r="D32" s="439"/>
      <c r="E32" s="439"/>
      <c r="F32" s="439"/>
      <c r="G32" s="439">
        <f>B32</f>
        <v>0.21000489256590713</v>
      </c>
    </row>
    <row r="33" spans="1:7" x14ac:dyDescent="0.2">
      <c r="A33" s="30" t="s">
        <v>93</v>
      </c>
      <c r="B33" s="439">
        <v>3.3035669552523954</v>
      </c>
      <c r="C33" s="439"/>
      <c r="D33" s="439"/>
      <c r="E33" s="439"/>
      <c r="F33" s="439">
        <v>3.3035669552523954</v>
      </c>
      <c r="G33" s="439"/>
    </row>
    <row r="34" spans="1:7" x14ac:dyDescent="0.2">
      <c r="A34" s="23" t="s">
        <v>94</v>
      </c>
      <c r="B34" s="432">
        <v>2.6660998344521332</v>
      </c>
      <c r="C34" s="432"/>
      <c r="D34" s="432">
        <f>B34</f>
        <v>2.6660998344521332</v>
      </c>
      <c r="E34" s="432"/>
      <c r="F34" s="432"/>
      <c r="G34" s="432">
        <f>B34</f>
        <v>2.6660998344521332</v>
      </c>
    </row>
    <row r="35" spans="1:7" x14ac:dyDescent="0.2">
      <c r="A35" s="23" t="s">
        <v>95</v>
      </c>
      <c r="B35" s="432">
        <v>2.4156234503139156</v>
      </c>
      <c r="C35" s="432"/>
      <c r="D35" s="432">
        <f>B35</f>
        <v>2.4156234503139156</v>
      </c>
      <c r="E35" s="432"/>
      <c r="F35" s="432"/>
      <c r="G35" s="432">
        <f>B35</f>
        <v>2.4156234503139156</v>
      </c>
    </row>
    <row r="36" spans="1:7" x14ac:dyDescent="0.2">
      <c r="A36" s="23" t="s">
        <v>96</v>
      </c>
      <c r="B36" s="432">
        <v>0.26689598053120261</v>
      </c>
      <c r="C36" s="432"/>
      <c r="D36" s="432"/>
      <c r="E36" s="432"/>
      <c r="F36" s="432"/>
      <c r="G36" s="432"/>
    </row>
    <row r="37" spans="1:7" x14ac:dyDescent="0.2">
      <c r="A37" s="25" t="s">
        <v>97</v>
      </c>
      <c r="B37" s="434">
        <v>1.79135401489749</v>
      </c>
      <c r="C37" s="434"/>
      <c r="D37" s="434">
        <f>B37</f>
        <v>1.79135401489749</v>
      </c>
      <c r="E37" s="434"/>
      <c r="F37" s="434"/>
      <c r="G37" s="434">
        <f>B37</f>
        <v>1.79135401489749</v>
      </c>
    </row>
    <row r="38" spans="1:7" x14ac:dyDescent="0.2">
      <c r="A38" s="25" t="s">
        <v>98</v>
      </c>
      <c r="B38" s="434">
        <v>0.65593910132046329</v>
      </c>
      <c r="C38" s="434"/>
      <c r="D38" s="434">
        <f>B38</f>
        <v>0.65593910132046329</v>
      </c>
      <c r="E38" s="434"/>
      <c r="F38" s="434"/>
      <c r="G38" s="434">
        <f>B38</f>
        <v>0.65593910132046329</v>
      </c>
    </row>
    <row r="39" spans="1:7" x14ac:dyDescent="0.2">
      <c r="A39" s="25" t="s">
        <v>99</v>
      </c>
      <c r="B39" s="434">
        <v>0.72143071390229285</v>
      </c>
      <c r="C39" s="434"/>
      <c r="D39" s="434"/>
      <c r="E39" s="434"/>
      <c r="F39" s="434"/>
      <c r="G39" s="434"/>
    </row>
    <row r="40" spans="1:7" x14ac:dyDescent="0.2">
      <c r="A40" s="25" t="s">
        <v>100</v>
      </c>
      <c r="B40" s="434">
        <v>0.27068410940622001</v>
      </c>
      <c r="C40" s="434"/>
      <c r="D40" s="434"/>
      <c r="E40" s="434"/>
      <c r="F40" s="434"/>
      <c r="G40" s="434"/>
    </row>
    <row r="41" spans="1:7" x14ac:dyDescent="0.2">
      <c r="A41" s="31" t="s">
        <v>101</v>
      </c>
      <c r="B41" s="440">
        <v>0.17748426383484159</v>
      </c>
      <c r="C41" s="440"/>
      <c r="D41" s="440"/>
      <c r="E41" s="440"/>
      <c r="F41" s="440"/>
      <c r="G41" s="440"/>
    </row>
    <row r="42" spans="1:7" x14ac:dyDescent="0.2">
      <c r="A42" s="31" t="s">
        <v>102</v>
      </c>
      <c r="B42" s="440">
        <v>4.0880737115926165</v>
      </c>
      <c r="C42" s="440"/>
      <c r="D42" s="440"/>
      <c r="E42" s="440"/>
      <c r="F42" s="440"/>
      <c r="G42" s="440"/>
    </row>
    <row r="43" spans="1:7" x14ac:dyDescent="0.2">
      <c r="A43" s="30" t="s">
        <v>103</v>
      </c>
      <c r="B43" s="439">
        <v>0.28697125730767292</v>
      </c>
      <c r="C43" s="439"/>
      <c r="D43" s="439"/>
      <c r="E43" s="439"/>
      <c r="F43" s="439"/>
      <c r="G43" s="439">
        <f>B43</f>
        <v>0.28697125730767292</v>
      </c>
    </row>
    <row r="44" spans="1:7" x14ac:dyDescent="0.2">
      <c r="A44" s="30" t="s">
        <v>104</v>
      </c>
      <c r="B44" s="439">
        <v>8.1083845702838147E-3</v>
      </c>
      <c r="C44" s="439"/>
      <c r="D44" s="439"/>
      <c r="E44" s="439"/>
      <c r="F44" s="439"/>
      <c r="G44" s="439">
        <f>B44</f>
        <v>8.1083845702838147E-3</v>
      </c>
    </row>
    <row r="45" spans="1:7" x14ac:dyDescent="0.2">
      <c r="A45" s="30" t="s">
        <v>105</v>
      </c>
      <c r="B45" s="439">
        <v>5.3053991202090194E-2</v>
      </c>
      <c r="C45" s="439"/>
      <c r="D45" s="439"/>
      <c r="E45" s="439"/>
      <c r="F45" s="439"/>
      <c r="G45" s="439">
        <f>B45</f>
        <v>5.3053991202090194E-2</v>
      </c>
    </row>
    <row r="46" spans="1:7" x14ac:dyDescent="0.2">
      <c r="A46" s="30" t="s">
        <v>106</v>
      </c>
      <c r="B46" s="439">
        <v>0.16087959991907153</v>
      </c>
      <c r="C46" s="439"/>
      <c r="D46" s="439"/>
      <c r="E46" s="439"/>
      <c r="F46" s="439"/>
      <c r="G46" s="439">
        <f>B46</f>
        <v>0.16087959991907153</v>
      </c>
    </row>
    <row r="47" spans="1:7" x14ac:dyDescent="0.2">
      <c r="A47" s="30" t="s">
        <v>107</v>
      </c>
      <c r="B47" s="439">
        <v>0.11057978809058126</v>
      </c>
      <c r="C47" s="439"/>
      <c r="D47" s="439"/>
      <c r="E47" s="439"/>
      <c r="F47" s="439"/>
      <c r="G47" s="439"/>
    </row>
    <row r="48" spans="1:7" x14ac:dyDescent="0.2">
      <c r="B48" t="s">
        <v>108</v>
      </c>
      <c r="C48" s="441">
        <v>37.840100430496179</v>
      </c>
      <c r="D48" s="441">
        <v>24.837180761442188</v>
      </c>
      <c r="E48" s="441">
        <v>9.8572374145338717</v>
      </c>
      <c r="F48" s="441">
        <v>15.0221098157744</v>
      </c>
      <c r="G48" s="441">
        <v>39.908874566609782</v>
      </c>
    </row>
    <row r="49" spans="1:7" x14ac:dyDescent="0.2">
      <c r="B49" t="s">
        <v>313</v>
      </c>
      <c r="C49" s="441">
        <v>96.004118802211849</v>
      </c>
      <c r="D49" s="441">
        <v>63.014411309854978</v>
      </c>
      <c r="E49" s="441">
        <v>25.008797044413885</v>
      </c>
      <c r="F49" s="441">
        <v>38.112594813601234</v>
      </c>
      <c r="G49" s="441">
        <v>101.25280566294568</v>
      </c>
    </row>
    <row r="50" spans="1:7" x14ac:dyDescent="0.2">
      <c r="B50" t="s">
        <v>312</v>
      </c>
      <c r="C50" s="36">
        <v>6205.6543599136012</v>
      </c>
      <c r="D50" s="36">
        <v>4073.2174948454522</v>
      </c>
      <c r="E50" s="36">
        <v>1616.5551265003212</v>
      </c>
      <c r="F50" s="36">
        <v>2463.5775331672116</v>
      </c>
      <c r="G50" s="36">
        <v>6544.9266422647179</v>
      </c>
    </row>
    <row r="52" spans="1:7" ht="15" x14ac:dyDescent="0.25">
      <c r="A52" s="32"/>
      <c r="B52" s="32"/>
      <c r="F52" s="35"/>
    </row>
    <row r="54" spans="1:7" ht="15" x14ac:dyDescent="0.25">
      <c r="B54" s="33"/>
    </row>
  </sheetData>
  <mergeCells count="1">
    <mergeCell ref="C1:G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baseColWidth="10" defaultRowHeight="12.75" x14ac:dyDescent="0.2"/>
  <cols>
    <col min="1" max="1" width="30.140625" customWidth="1"/>
    <col min="2" max="3" width="15.7109375" customWidth="1"/>
  </cols>
  <sheetData>
    <row r="1" spans="1:3" ht="45" x14ac:dyDescent="0.2">
      <c r="A1" s="38" t="s">
        <v>115</v>
      </c>
      <c r="B1" s="39" t="s">
        <v>130</v>
      </c>
      <c r="C1" s="40" t="s">
        <v>131</v>
      </c>
    </row>
    <row r="2" spans="1:3" ht="15" x14ac:dyDescent="0.2">
      <c r="A2" s="41" t="s">
        <v>116</v>
      </c>
      <c r="B2" s="42">
        <v>0.55233234680121479</v>
      </c>
      <c r="C2" s="43">
        <v>3.4596907736294237E-2</v>
      </c>
    </row>
    <row r="3" spans="1:3" ht="15" x14ac:dyDescent="0.2">
      <c r="A3" s="38" t="s">
        <v>117</v>
      </c>
      <c r="B3" s="44">
        <v>0.59936382315486536</v>
      </c>
      <c r="C3" s="45">
        <v>4.227135582906142E-2</v>
      </c>
    </row>
    <row r="4" spans="1:3" ht="15" x14ac:dyDescent="0.2">
      <c r="A4" s="41" t="s">
        <v>12</v>
      </c>
      <c r="B4" s="42">
        <v>0.24580876542060753</v>
      </c>
      <c r="C4" s="43">
        <v>2.0445996406662025E-2</v>
      </c>
    </row>
    <row r="5" spans="1:3" ht="15" x14ac:dyDescent="0.2">
      <c r="A5" s="38" t="s">
        <v>18</v>
      </c>
      <c r="B5" s="44">
        <v>0.33531904626248216</v>
      </c>
      <c r="C5" s="45">
        <v>2.3421464537356728E-2</v>
      </c>
    </row>
    <row r="6" spans="1:3" ht="15" x14ac:dyDescent="0.2">
      <c r="A6" s="41" t="s">
        <v>118</v>
      </c>
      <c r="B6" s="42">
        <v>0.24239823125112614</v>
      </c>
      <c r="C6" s="43">
        <v>1.8002891131795325E-2</v>
      </c>
    </row>
    <row r="7" spans="1:3" ht="15" x14ac:dyDescent="0.2">
      <c r="A7" s="38" t="s">
        <v>119</v>
      </c>
      <c r="B7" s="44">
        <v>1.6942059346805732E-2</v>
      </c>
      <c r="C7" s="45">
        <v>3.0456107213567033E-3</v>
      </c>
    </row>
    <row r="8" spans="1:3" ht="15" x14ac:dyDescent="0.2">
      <c r="A8" s="41" t="s">
        <v>26</v>
      </c>
      <c r="B8" s="42">
        <v>0.30080337883240321</v>
      </c>
      <c r="C8" s="43">
        <v>3.2184880935378586E-2</v>
      </c>
    </row>
    <row r="9" spans="1:3" ht="15" x14ac:dyDescent="0.2">
      <c r="A9" s="38" t="s">
        <v>27</v>
      </c>
      <c r="B9" s="44">
        <v>0.52982450112274559</v>
      </c>
      <c r="C9" s="45">
        <v>3.2592765005328754E-2</v>
      </c>
    </row>
    <row r="10" spans="1:3" ht="15" x14ac:dyDescent="0.2">
      <c r="A10" s="41" t="s">
        <v>120</v>
      </c>
      <c r="B10" s="42">
        <v>0.27906747994082981</v>
      </c>
      <c r="C10" s="43">
        <v>2.0320364245430086E-2</v>
      </c>
    </row>
    <row r="11" spans="1:3" ht="15" x14ac:dyDescent="0.2">
      <c r="A11" s="38" t="s">
        <v>121</v>
      </c>
      <c r="B11" s="44">
        <v>0.18047384953933149</v>
      </c>
      <c r="C11" s="45">
        <v>1.8137298901775525E-2</v>
      </c>
    </row>
    <row r="12" spans="1:3" ht="15" x14ac:dyDescent="0.2">
      <c r="A12" s="41" t="s">
        <v>39</v>
      </c>
      <c r="B12" s="42">
        <v>0.17234247633034211</v>
      </c>
      <c r="C12" s="43">
        <v>2.3814478593172733E-2</v>
      </c>
    </row>
    <row r="13" spans="1:3" ht="15" x14ac:dyDescent="0.2">
      <c r="A13" s="38" t="s">
        <v>44</v>
      </c>
      <c r="B13" s="44">
        <v>1.343693819174477E-2</v>
      </c>
      <c r="C13" s="45">
        <v>3.5788414993765784E-3</v>
      </c>
    </row>
    <row r="14" spans="1:3" ht="15" x14ac:dyDescent="0.2">
      <c r="A14" s="41" t="s">
        <v>48</v>
      </c>
      <c r="B14" s="42">
        <v>0.12086923723375739</v>
      </c>
      <c r="C14" s="43">
        <v>1.86580357072272E-2</v>
      </c>
    </row>
    <row r="15" spans="1:3" ht="15" x14ac:dyDescent="0.2">
      <c r="A15" s="38" t="s">
        <v>53</v>
      </c>
      <c r="B15" s="44">
        <v>6.5680513895782139E-2</v>
      </c>
      <c r="C15" s="45">
        <v>1.939017721499163E-2</v>
      </c>
    </row>
    <row r="16" spans="1:3" ht="15" x14ac:dyDescent="0.2">
      <c r="A16" s="41" t="s">
        <v>122</v>
      </c>
      <c r="B16" s="42">
        <v>0.44037544342403606</v>
      </c>
      <c r="C16" s="43">
        <v>2.5569590932151283E-2</v>
      </c>
    </row>
    <row r="17" spans="1:3" ht="15" x14ac:dyDescent="0.2">
      <c r="A17" s="46" t="s">
        <v>123</v>
      </c>
      <c r="B17" s="47">
        <v>0.36899999999999999</v>
      </c>
      <c r="C17" s="4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E3" sqref="E3"/>
    </sheetView>
  </sheetViews>
  <sheetFormatPr baseColWidth="10" defaultRowHeight="12.75" x14ac:dyDescent="0.2"/>
  <cols>
    <col min="1" max="1" width="29.28515625" customWidth="1"/>
    <col min="2" max="3" width="15.7109375" customWidth="1"/>
  </cols>
  <sheetData>
    <row r="1" spans="1:5" ht="30" x14ac:dyDescent="0.2">
      <c r="B1" s="22" t="s">
        <v>125</v>
      </c>
      <c r="C1" s="50" t="s">
        <v>129</v>
      </c>
      <c r="D1" s="212" t="s">
        <v>127</v>
      </c>
      <c r="E1" s="50" t="s">
        <v>128</v>
      </c>
    </row>
    <row r="2" spans="1:5" ht="15" x14ac:dyDescent="0.2">
      <c r="A2" s="51" t="s">
        <v>6</v>
      </c>
      <c r="B2" s="52">
        <v>85.059522004213449</v>
      </c>
      <c r="C2" s="53">
        <v>2.6032762717486673</v>
      </c>
      <c r="D2" s="52">
        <v>40.36902557119766</v>
      </c>
      <c r="E2" s="61">
        <v>1.5378196962601616</v>
      </c>
    </row>
    <row r="3" spans="1:5" ht="15" x14ac:dyDescent="0.2">
      <c r="A3" s="51" t="s">
        <v>68</v>
      </c>
      <c r="B3" s="52">
        <v>82.07606975405254</v>
      </c>
      <c r="C3" s="53">
        <v>2.3943126746395094</v>
      </c>
      <c r="D3" s="52">
        <v>40.699573169813121</v>
      </c>
      <c r="E3" s="61">
        <v>2.0180515270294959</v>
      </c>
    </row>
    <row r="4" spans="1:5" ht="15" x14ac:dyDescent="0.2">
      <c r="A4" s="51" t="s">
        <v>12</v>
      </c>
      <c r="B4" s="52">
        <v>75.424037875097866</v>
      </c>
      <c r="C4" s="53">
        <v>1.5640183705713531</v>
      </c>
      <c r="D4" s="52">
        <v>36.382857881548489</v>
      </c>
      <c r="E4" s="61">
        <v>1.1545403215826</v>
      </c>
    </row>
    <row r="5" spans="1:5" ht="15" x14ac:dyDescent="0.2">
      <c r="A5" s="51" t="s">
        <v>18</v>
      </c>
      <c r="B5" s="52">
        <v>80.480688038770296</v>
      </c>
      <c r="C5" s="53">
        <v>0.94545634221314878</v>
      </c>
      <c r="D5" s="52">
        <v>38.335379244004052</v>
      </c>
      <c r="E5" s="61">
        <v>0.68254107550632515</v>
      </c>
    </row>
    <row r="6" spans="1:5" ht="15" x14ac:dyDescent="0.2">
      <c r="A6" s="51" t="s">
        <v>22</v>
      </c>
      <c r="B6" s="52">
        <v>85.839302550256804</v>
      </c>
      <c r="C6" s="53">
        <v>1.5899829510182286</v>
      </c>
      <c r="D6" s="52">
        <v>44.56663964699289</v>
      </c>
      <c r="E6" s="61">
        <v>1.263365348124428</v>
      </c>
    </row>
    <row r="7" spans="1:5" ht="15" x14ac:dyDescent="0.2">
      <c r="A7" s="51" t="s">
        <v>26</v>
      </c>
      <c r="B7" s="52">
        <v>91.171859083039294</v>
      </c>
      <c r="C7" s="53">
        <v>1.4514182871710009</v>
      </c>
      <c r="D7" s="52">
        <v>46.519024958739386</v>
      </c>
      <c r="E7" s="61">
        <v>1.5257580688346004</v>
      </c>
    </row>
    <row r="8" spans="1:5" ht="15" x14ac:dyDescent="0.2">
      <c r="A8" s="51" t="s">
        <v>27</v>
      </c>
      <c r="B8" s="52">
        <v>88.203697814034371</v>
      </c>
      <c r="C8" s="53">
        <v>1.1411257274741338</v>
      </c>
      <c r="D8" s="52">
        <v>43.210546586154962</v>
      </c>
      <c r="E8" s="61">
        <v>1.1329458009582394</v>
      </c>
    </row>
    <row r="9" spans="1:5" ht="15" x14ac:dyDescent="0.2">
      <c r="A9" s="51" t="s">
        <v>31</v>
      </c>
      <c r="B9" s="52">
        <v>86.058418764289243</v>
      </c>
      <c r="C9" s="53">
        <v>1.4571180850032812</v>
      </c>
      <c r="D9" s="52">
        <v>54.984767298261659</v>
      </c>
      <c r="E9" s="61">
        <v>2.9828644159400919</v>
      </c>
    </row>
    <row r="10" spans="1:5" ht="15" x14ac:dyDescent="0.2">
      <c r="A10" s="51" t="s">
        <v>39</v>
      </c>
      <c r="B10" s="52">
        <v>81.992818619083181</v>
      </c>
      <c r="C10" s="53">
        <v>3.9428255199582805</v>
      </c>
      <c r="D10" s="52">
        <v>42.448644534605371</v>
      </c>
      <c r="E10" s="61">
        <v>2.8168461358763337</v>
      </c>
    </row>
    <row r="11" spans="1:5" ht="15" x14ac:dyDescent="0.2">
      <c r="A11" s="51" t="s">
        <v>44</v>
      </c>
      <c r="B11" s="54"/>
      <c r="C11" s="55"/>
      <c r="D11" s="54"/>
      <c r="E11" s="62"/>
    </row>
    <row r="12" spans="1:5" ht="15" x14ac:dyDescent="0.2">
      <c r="A12" s="56" t="s">
        <v>48</v>
      </c>
      <c r="B12" s="54"/>
      <c r="C12" s="57"/>
      <c r="D12" s="54"/>
      <c r="E12" s="62"/>
    </row>
    <row r="13" spans="1:5" ht="15" x14ac:dyDescent="0.2">
      <c r="A13" s="51" t="s">
        <v>53</v>
      </c>
      <c r="B13" s="54"/>
      <c r="C13" s="55"/>
      <c r="D13" s="54"/>
      <c r="E13" s="62"/>
    </row>
    <row r="14" spans="1:5" ht="15" x14ac:dyDescent="0.2">
      <c r="A14" s="56" t="s">
        <v>56</v>
      </c>
      <c r="B14" s="54"/>
      <c r="C14" s="57"/>
      <c r="D14" s="54"/>
      <c r="E14" s="62"/>
    </row>
    <row r="15" spans="1:5" ht="15" x14ac:dyDescent="0.2">
      <c r="A15" s="51" t="s">
        <v>122</v>
      </c>
      <c r="B15" s="52">
        <v>45.435870446089993</v>
      </c>
      <c r="C15" s="53">
        <v>4.0810979952061786</v>
      </c>
      <c r="D15" s="52">
        <v>22.994554881081442</v>
      </c>
      <c r="E15" s="61">
        <v>3.1379456534868639</v>
      </c>
    </row>
    <row r="16" spans="1:5" ht="15" x14ac:dyDescent="0.2">
      <c r="A16" s="58" t="s">
        <v>126</v>
      </c>
      <c r="B16" s="59">
        <v>68.7</v>
      </c>
      <c r="C16" s="60"/>
      <c r="D16" s="59">
        <v>35.799999999999997</v>
      </c>
      <c r="E16"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36</vt:i4>
      </vt:variant>
    </vt:vector>
  </HeadingPairs>
  <TitlesOfParts>
    <vt:vector size="36" baseType="lpstr">
      <vt:lpstr>Tab 2 Fig 2 chiffres  2007-2017</vt:lpstr>
      <vt:lpstr>Fig 3 MODECOM 2017 - OMR</vt:lpstr>
      <vt:lpstr>Tableau 3   MODECOM 2017 - OMR </vt:lpstr>
      <vt:lpstr>Fig 4 OMR compo des catégories</vt:lpstr>
      <vt:lpstr>Fig 5 compo M - AE - MAE</vt:lpstr>
      <vt:lpstr>Tab 4 OMR compar M, AE, MAE</vt:lpstr>
      <vt:lpstr>Tab 5 OMR Pot Valo </vt:lpstr>
      <vt:lpstr>Tab 6 OMR Humidités</vt:lpstr>
      <vt:lpstr>Tab 7 OMR MOT, COT</vt:lpstr>
      <vt:lpstr>Fig 6 OMR ratios 93-2007-2017</vt:lpstr>
      <vt:lpstr>Tab 8 OMR Comparaison ratios</vt:lpstr>
      <vt:lpstr>Tab 9 Evolution ratios</vt:lpstr>
      <vt:lpstr>Fig 7 CS emb-pap % ratios</vt:lpstr>
      <vt:lpstr>Fig 8 CS emb-pap %</vt:lpstr>
      <vt:lpstr>Tab 10 CS Emb-papiers</vt:lpstr>
      <vt:lpstr>Tab 11  CS Part conforme-Refus</vt:lpstr>
      <vt:lpstr>Tab 12 CS Verre</vt:lpstr>
      <vt:lpstr>Tab 13 Verre Part conforme-Refu</vt:lpstr>
      <vt:lpstr>Fig 9 emb + verre-pap 2007-2017</vt:lpstr>
      <vt:lpstr>Tab 14 CS-verre comparaisons</vt:lpstr>
      <vt:lpstr>Fig 10 CS biodéchets (%)</vt:lpstr>
      <vt:lpstr>Tab 15 CS Biodéchets</vt:lpstr>
      <vt:lpstr>Tab 16 Biodéchets conforme-refu</vt:lpstr>
      <vt:lpstr>Fig 11 OMA par catégories</vt:lpstr>
      <vt:lpstr>Tab 17 OMA </vt:lpstr>
      <vt:lpstr>Fig 12 OMA  OMR et CS par cat</vt:lpstr>
      <vt:lpstr>Tab 18 OMR évitement-pot réduc </vt:lpstr>
      <vt:lpstr>Tab 19 Taux captage CS dans OMA</vt:lpstr>
      <vt:lpstr>Fig 13 OMA taux de captage CS</vt:lpstr>
      <vt:lpstr>Fig 15 Compo globale DT</vt:lpstr>
      <vt:lpstr>Tab 21 Compo DT par SC</vt:lpstr>
      <vt:lpstr>Fig 16 à 20 Compo moy par benne</vt:lpstr>
      <vt:lpstr>Fig 21</vt:lpstr>
      <vt:lpstr>Tab 26 Gisement bois</vt:lpstr>
      <vt:lpstr>grille de tri_OMR CS</vt:lpstr>
      <vt:lpstr>grille de tri_Déchèterie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dc:creator>
  <cp:lastModifiedBy>HEYBERGER Agnès</cp:lastModifiedBy>
  <dcterms:created xsi:type="dcterms:W3CDTF">2020-07-29T13:27:47Z</dcterms:created>
  <dcterms:modified xsi:type="dcterms:W3CDTF">2021-03-25T09:33:10Z</dcterms:modified>
</cp:coreProperties>
</file>